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17" sheetId="1" r:id="rId4"/>
  </sheets>
  <definedNames>
    <definedName hidden="1" localSheetId="0" name="_xlnm._FilterDatabase">'2017'!$A$1:$I$704</definedName>
  </definedNames>
  <calcPr/>
</workbook>
</file>

<file path=xl/sharedStrings.xml><?xml version="1.0" encoding="utf-8"?>
<sst xmlns="http://schemas.openxmlformats.org/spreadsheetml/2006/main" count="3824" uniqueCount="1740">
  <si>
    <t>Due Date</t>
  </si>
  <si>
    <t>Sponsor</t>
  </si>
  <si>
    <t>Org type (gov, high ed, fdn, other for libs &amp; museums)</t>
  </si>
  <si>
    <t>Program Name</t>
  </si>
  <si>
    <t>Department</t>
  </si>
  <si>
    <t>Purpose</t>
  </si>
  <si>
    <t>Stage of career
(if specified)</t>
  </si>
  <si>
    <t>Funding range 
(if specified)</t>
  </si>
  <si>
    <t>Notes and description</t>
  </si>
  <si>
    <t>Closed</t>
  </si>
  <si>
    <t>high ed</t>
  </si>
  <si>
    <t>STEM
Arts &amp; Humanities
Social Science</t>
  </si>
  <si>
    <t>full-time faculty</t>
  </si>
  <si>
    <t>up to $30,000</t>
  </si>
  <si>
    <t>*Closed* The PSSN Program will offer annual seed/pilot grants to enable collaboration between Columbia and Barnard faculty in the humanities, arts, or social sciences, and faculty in the natural sciences whose primary focus is the empirical study of mind, brain, and behavior.  This request for proposals is open to all full-time faculty at Columbia University and Barnard College that contribute to these interdisciplinary goals. Non-faculty applications may be reviewed on a case-by- case basis with at least one faculty member serving as co-investigator.</t>
  </si>
  <si>
    <t>Map Fund</t>
  </si>
  <si>
    <t>fdn</t>
  </si>
  <si>
    <t>Creative Arts</t>
  </si>
  <si>
    <t>Open and supported application: Anyone may apply on behalf of an eligible new, live performance project that connects with MAP’s mission. The person(s) who create the application (“primary contact” in Submittable) may be an individual artist, ensemble representative, producer, manager, agent, or presenting representative. We expect that all artists have consented to their presence in the proposal, and that the primary contact will share all subsequent communications with the artist(s). MAP aims to make the application process as supported as possible, offering phone call, email, and project description support.
Three-step selection process to mitigate bias: In Step 1, a cohort of 60+ artists and arts workers serving as representatives of the applicant community will complete independent assessments of each proposal. They will cast anonymous votes to advance projects into the next step. In Step 2, an Excel function will randomly draw 85 projects. In Step 3, MAP’s Board of Directors approves the selected projects. MAP staff will send notifications via email.
Granting process foregrounding artists’ agency: Each grantee will receive a $25,000 grant for the creation of a new, live performance project and a $5,000 unrestricted general operating grant. The artist(s) will choose the “grant custodian” best suited to their project’s needs, and must agree to how and when the funds will be distributed. We will move the funds quickly upon completed paperwork.</t>
  </si>
  <si>
    <t>Howard Gilman Foundation</t>
  </si>
  <si>
    <t>Howard Gilman Grant</t>
  </si>
  <si>
    <t>The Howard Gilman Foundation supports a cross-section of New York City-based performing arts organizations of varying structure, style, and budget sizes.</t>
  </si>
  <si>
    <t>Center for Chinese Studies</t>
  </si>
  <si>
    <t>Research Grant Program</t>
  </si>
  <si>
    <t>Language and Area Studies</t>
  </si>
  <si>
    <t xml:space="preserve">  This program is aim at foreign professors, associate professors, assistant professors (including post-doctoral researchers) and doctoral candidates in departments related to Chinese studies at foreign universities, as well as researchers at related foreign academic institutes. 
The research should be undertaken in Taiwan, and be focused mainly on Taiwan or Chinese studies.</t>
  </si>
  <si>
    <t>Shubert Foundation</t>
  </si>
  <si>
    <t>Theatre</t>
  </si>
  <si>
    <t>Theatres are evaluated individually and with appropriate allowance for size and resources. The standard for awarding these grants is based on an assessment of each organization's operation and its contribution to the field. Artistic activity, service to community, and fiscal responsibility are factored into each evaluation, as is the company's development of new work. Emphasis is placed upon a commitment to equity, diversity, and inclusion.</t>
  </si>
  <si>
    <t>Lewis Center for the Arts</t>
  </si>
  <si>
    <t>High ed</t>
  </si>
  <si>
    <t>The Hodder Fellowship</t>
  </si>
  <si>
    <t>The Hodder Fellowship will be given to artists and writers of exceptional promise to pursue independent projects at Princeton University during the academic year. Potential Hodder Fellows are composers, choreographers, performance artists, visual artists, writers, translators, or other kinds of artists or humanists who have “much more than ordinary intellectual and literary gifts”; they are selected more “for promise than for performance.” Given the strength of the applicant pool, most successful Fellows have published a first book or have similar achievements in their own fields; the Hodder is designed to provide Fellows with the “studious leisure” to undertake significant new work.</t>
  </si>
  <si>
    <t>National Endowment for the Humanities Senior Research Fellowship Programs</t>
  </si>
  <si>
    <t>Fellowship on site</t>
  </si>
  <si>
    <t>&lt;10 years postdoc 
early career</t>
  </si>
  <si>
    <t>*EXPIRED*                                                                                                           "This fellowship supports advanced research in the humanities for U.S. postdoctoral scholars, and foreign national postdoctoral scholars who have been residents in the US for three or more years.
Scholars must carry out research in a country which hosts a participating American overseas research center. Eligible countries for 2018-2019 are: Algeria, Armenia, Azerbaijan, Cambodia, Cyprus, Georgia, Indonesia, Mexico, Mongolia, Morocco, Nepal, Senegal, Sri Lanka or Tunisia. Fellowship stipends are $5,000 per month for a maximum of four months. This program is funded by the National Endowment for the Humanities (NEH) under the Fellowship Programs at Independent Research Institutions (FPIRI)."</t>
  </si>
  <si>
    <t>Arts &amp; Humanities
Religion</t>
  </si>
  <si>
    <t>project funding</t>
  </si>
  <si>
    <t xml:space="preserve">  The Institute for Religion, Culture, and Public Life supports academic research, teaching, and scholarship. The Institute seeks proposals from Columbia University faculty for programs that aim to understand the role of religion in the contemporary world and its historical roots. Joint Project funding may be applied to seminars, conferences, events, research, teaching, and other joint projects that bring together an interdisciplinary group of scholars.</t>
  </si>
  <si>
    <t>National Endowment for the Humanities</t>
  </si>
  <si>
    <t>gov</t>
  </si>
  <si>
    <t>Archaeological and Ethnographic Field Research</t>
  </si>
  <si>
    <t>Social Science</t>
  </si>
  <si>
    <t>The Archaeological and Ethnographic Field Research program makes awards to institutions and organizations conducting empirical field research to answer significant questions in the humanities. Archaeology and ethnography are important methodologies utilized by many disciplines across the humanities and social sciences that provide observational and experiential data on human history and culture.
Archaeological methods may include field survey and field-based remote sensing, documentation or visualization, and/or excavations in support of answering research questions in all aspects of the human past, including but not limited to ancient studies, anthropology, art history, classical studies, regional studies, epigraphy, and other related disciplines. Ethnographic methods may include participant observation, surveys and interviews, and documentation or recording in pursuit of research questions in anthropology, sociology, ethnolinguistics, oral history, ethnomusicology, performance studies, folklore studies, and related disciplines.</t>
  </si>
  <si>
    <t>General</t>
  </si>
  <si>
    <t>Grant</t>
  </si>
  <si>
    <t>early</t>
  </si>
  <si>
    <t xml:space="preserve"> "Sapere Aude: DFF-Starting Grants are targeted at excellent, younger researchers who intend to gather a group of researchers in order to carry out a research project at a high international level. The objective of the grant is to give talented researchers who have earned their PhD within the last eight years an opportunity to develop and strengthen their research ideas. In all cases, a general assessment criterion will be the extent to which the project will benefit Danish research."</t>
  </si>
  <si>
    <t>other</t>
  </si>
  <si>
    <t>Postdoctoral Fellowships</t>
  </si>
  <si>
    <t>Fellowship on site (most likely)</t>
  </si>
  <si>
    <t>&lt;5 years post doc</t>
  </si>
  <si>
    <t>€2111.09/month</t>
  </si>
  <si>
    <t>*No new DEADLINE as of 6.29.21*                                                                                         "The musée du quai Branly – Jacques Chirac offers every year doctoral and post-doctoral fellowships to support Ph.D. candidates and early career scholars in pursuing innovative research projects. 
The academic fields concerned are: anthropology, ethnomusicology, art history, history, archaeology, sociology, performance studies.
The research topics concerned are: Western and non-Western arts, material and immaterial heritage, museum institutions and their collections, technology, ritual performance and material culture.
The projects most likely to benefit from the environment of the musée du quai Branly – Jacques Chirac will be examined with particular attention....
Five postdoctoral fellowships are offered to early career scholars to collectively develop a one year research program on the theme “value and materialities”. Each of these terms must be understood in its broader sense to account for all their possible relations, the museum collection being one of its modalities."</t>
  </si>
  <si>
    <t>Language and Area Studies
Middle East</t>
  </si>
  <si>
    <t>various</t>
  </si>
  <si>
    <t>Not specified</t>
  </si>
  <si>
    <t xml:space="preserve">*PAGE NOT FOUND* “The Institute of Turkish Studies (ITS) will offer grants and fellowships in the field of Ottoman and Modern Turkish Studies to graduate students, post-doctoral scholars, universities, and other educational institutions through its Grants Program for the 2020-2021 academic year. The annual budget for the Grants Program has been significantly expanded and ITS encourages qualified applicants to apply for its grants:”
* Grants for the Publication of Scholarly Books and Journals to cover part of the publication costs of scholarly books and journals in the field of Turkish Studies to be published in the U.S. 
* Teaching Aids Grants for the development of instructional materials in the field of Turkish Studies, such as language teaching materials, maps, slides, etc.
* The Institute of Turkish Studies (ITS) invites scholars with research interests in Turkey currently employed by institutes of higher education in the United States to submit proposals to host an academic conference in conjunction with ITS.”  </t>
  </si>
  <si>
    <t>project 
research</t>
  </si>
  <si>
    <t xml:space="preserve"> "One organization in each of the four issue areas—food waste, plant-rich diets, girl’s education, and women’s rights—will receive $250,000 in recognition of their impact to date and their plans to scale.
There will be two rounds of scoring assessment. During Peer-to-Peer Review, all applicants will use the scoring rubric to score and comment on at least five applications within their selected category. Everyone who submits a valid application will have the opportunity to give and receive valuable feedback, creating space to further develop your proposed efforts and strengthen this work all over the world.
Those applicants invited to the second round will receive scores and comments from our panel of expert judges."</t>
  </si>
  <si>
    <t>A&amp;H
History</t>
  </si>
  <si>
    <t>$1,500/four weeks</t>
  </si>
  <si>
    <t>"This fellowship supports research in American religious history involving the collections of the Boston Athenaeum and the Congregational Library &amp; Archives."</t>
  </si>
  <si>
    <t>Samuel H. Kress Mid-Career Research and Publication Fellowships in Art History</t>
  </si>
  <si>
    <t>A&amp;H
Art History</t>
  </si>
  <si>
    <t>Fellowship</t>
  </si>
  <si>
    <t>*EXPIRED*                                                                                                           "Thanks to a generous grant from the Samuel H. Kress Foundation, RSA will award up to five Samuel H. Kress Mid-Career Research and Publication Fellowships of $3,000 each. These fellowships are intended especially to support the costs of publication in the history of art, but in some cases may be awarded for research travel costs for art history projects."</t>
  </si>
  <si>
    <t>TBA</t>
  </si>
  <si>
    <t xml:space="preserve">*No new deadline 2/28/22* “Guggenheim Fellowships are intended for individuals who have already demonstrated exceptional capacity for productive scholarship or exceptional creative ability in the arts.
Fellowships are awarded through two annual competitions: one open to citizens and permanent residents of the United States and Canada, and the other open to citizens and permanent residents of Latin America and the Caribbean. Candidates must apply to the Guggenheim Foundation in order to be considered in either of these competitions.
The Foundation receives approximately 3,000 applications each year. Although no one who applies is guaranteed success in the competition, there is no prescreening: all applications are reviewed. Approximately 175 Fellowships are awarded each year.
During the rigorous selection process, applicants will first be pooled with others working in the same field, and examined by experts in that field: the work of artists will be reviewed by artists, that of scientists by scientists, that of historians by historians, and so on. The Foundation has a network of several hundred advisers, who either meet at the Foundation offices to look at applicants’ work, or receive application materials to read offsite. These advisers, all of whom are themselves former Guggenheim Fellows, then submit reports critiquing and ranking the applications in their respective fields. Their recommendations are then forwarded to and weighed by a Committee of Selection, which then determines the number of awards to be made in each area. Occasionally, no application in a given area is considered strong enough to merit a Fellowship.”
Website: https://www.gf.org/applicants/resources/
Short-term Fellowships/ Travel Funding
</t>
  </si>
  <si>
    <t>Sciences
Psychiatry</t>
  </si>
  <si>
    <t>travel</t>
  </si>
  <si>
    <t>early career</t>
  </si>
  <si>
    <t>*No new DEADLINE as of 2/28/22*                                                                          "The training of a new generation of psychiatric academicians is a major objective of the Society of Biological Psychiatry (SOBP). Participation in professional meetings, where new information is exchanged and contacts are made, can have a critical impact on the career of a developing basic and clinician-scientist. In recognition of the importance of academic exchange, SOBP annually selects distinguished Early Career Investigators from North American institutions to be a part of our Travel Fellowship Award program. Travel Awards recognize excellence in scholarly activity by junior researchers by providing the opportunity to attend the annual meeting and participate in special programming for the awardees. These awards are supported by the Society of Biological Psychiatry and in part by Elsevier, publisher of the Society’s journals, Biological Psychiatry and Biological Psychiatry: Cognitive Neuroscience and Neuroimaging."</t>
  </si>
  <si>
    <t>Johnson &amp; Johnson</t>
  </si>
  <si>
    <t>corp</t>
  </si>
  <si>
    <t>WiSTEM2D Scholars</t>
  </si>
  <si>
    <t>Sciences</t>
  </si>
  <si>
    <t>research/ institutional</t>
  </si>
  <si>
    <t>$150,000/ 3 years</t>
  </si>
  <si>
    <t>*EXPIRED*                                                                          "The Johnson &amp; Johnson Scholars Award Program aims to fuel development of female STEM2D leaders and feed the STEM2D talent pipeline by awarding and sponsoring women at critical points in their careers, in each of the STEM2D disciplines: Science, Technology, Engineering, Math, Manufacturing and Design....
The awards will fund one woman per discipline who has completed her advanced degree, who is working as an assistant professor and who is not yet tenured at an accredited university or design institution. The goal is to fuel the research passion of the awarded women and inspire career paths in their respective STEM2D fields."</t>
  </si>
  <si>
    <t>Richard L. Blinder Award</t>
  </si>
  <si>
    <t>Arts &amp; Humanities</t>
  </si>
  <si>
    <t>Award</t>
  </si>
  <si>
    <t>*No new DEADLINE as of 2.12.21, biennial, not offered in 2021*                                                                                "The Richard L. Blinder Award will be presented biennially to an architect or other professional in a related historic preservation field for a proposal exploring architecture and preservation. The proposal may focus on a real project or it may be a polemical exercise; in either case, originality is highly valued. The proposal must advance architectural preservation in the United States. The product can be graphic, text-based or a combination of both and must be able to be shared with the architecture and preservation community. The award is for a sum not to exceed $15,000."</t>
  </si>
  <si>
    <t xml:space="preserve">Luce/ACLS Program in Religion, Journalism &amp; International Affairs Fellowships </t>
  </si>
  <si>
    <t>A&amp;H
Religion, journalism, int'l affairs</t>
  </si>
  <si>
    <t>fellowship</t>
  </si>
  <si>
    <t>*404*"These fellowships support scholars in the humanities and related social sciences who are pursuing research on any aspect of religion in international contexts and who desire to connect their specialist knowledge with journalists and media practitioners. The ultimate goal of the research should be a significant piece of scholarly work by the applicant and concrete steps to engage journalistic and media audiences."</t>
  </si>
  <si>
    <t>Music Research and Music Preservation</t>
  </si>
  <si>
    <t>research</t>
  </si>
  <si>
    <t>*EXPIRED* "With funding generously provided by The Recording Academy, the GRAMMY Museum Grants Program awards grants each year to organizations and individuals to support efforts that advance the archiving and preservation of the music and recorded sound heritage of North America, and research projects related to the impact of music on the human condition.
Grant funds have been utilized to preserve private collections as well as materials at the Library of Congress, the Smithsonian and numerous colleges and universities. Research projects have studied the links between music and early childhood education, treatments for illnesses and injuries common to musicians, and the impact of music therapy on populations from infants to the elderly. Over $7 million in grants have been awarded to nearly 400 recipients."</t>
  </si>
  <si>
    <t>Loeb Classical Library Foundation Fellowship</t>
  </si>
  <si>
    <t>A&amp;H
Classics</t>
  </si>
  <si>
    <t>aculty or faculty emeritus</t>
  </si>
  <si>
    <t>$1,000 to $35,000</t>
  </si>
  <si>
    <t>"The Loeb Classical Library Foundation awards fellowships to qualified scholars to support research, publication, and other projects in the area of classical studies. Fellowships will normally range from $1,000 to $40,000.
In the case of sabbatical replacement, applicants must have faculty or faculty emeritus status at a college or university at the time of application and during the entire time covered by the fellowship. Qualified scholars are eligible for support for publication of research.
Fellowships may be used for a wide variety of purposes. Examples include publication of research, enhancement of sabbaticals, travel to libraries or collections, dramatic productions, excavation expenses, or cost of research materials. Individual fellowship requests may be only partially funded. In exceptional circumstances a fellowship may be extended or renewed, but a new application in must be submitted in a regular application cycle in order to obtain additional funding. A special selection committee will choose the persons to whom fellowships are to be awarded and recommend the amount of the fellowships.
James Loeb directed in his will that income from the Loeb Classical Library beyond that needed for the maintenance and enhancement of the Library eventually should be used "for the encouragement of special research at home and abroad in the province of Archaeology and of Greek and Latin Literature," and that awards should be granted "without distinction as to sex, race, nationality, color or creed."</t>
  </si>
  <si>
    <t>$16,800-$37,800</t>
  </si>
  <si>
    <t xml:space="preserve"> "National Endowment for the Humanities Post-Doctoral Fellowships support research in residence at the Library Company on any subject relevant to its collections, which are capable of supporting research in a variety of fields and disciplines relating to the history of America and the Atlantic world form the 17th through the 19th centuries....  NEH fellowships are tenable for four to nine months.  The stipend is $5,000 per month."</t>
  </si>
  <si>
    <t>Language and Area Studies
Europe</t>
  </si>
  <si>
    <t>None</t>
  </si>
  <si>
    <t>*No new DEADLINE as of 7.20.21, check back in fall*                                                                                         "Every year, the Minda de Gunzburg Center for European Studies hosts a number of Visiting Scholars from the United States, Europe and other parts of the globe. Visiting Scholars are chosen from a pool of applications from post-doctoral social scientists and historians who are working on modern Europe. They continue their research on the Harvard campus while engaging with CES faculty, graduate and undergraduate students and participating in study groups, seminars, and conferences."</t>
  </si>
  <si>
    <t>Sciences
Astronomy</t>
  </si>
  <si>
    <t>Fellowship on site (with exceptions)</t>
  </si>
  <si>
    <t>*No new DEADLINE as of 7.1.21*                                                                                "The Jansky Fellowship Program supports outstanding postdoctoral scientists whose research is broadly related to the mission and scientific goals of the National Radio Astronomy Observatory (NRAO), which operates two world-class research facilities: the Atacama Large Millimeter/submillimeter Array and the Very Large Array.
As a Jansky Fellow, you will have a unique opportunity to contribute to and learn from the development and delivery of the largest and most capable radio telescopes in the world. Research that employs NRAO telescopes in multi-wavelength collaborations is encouraged. Candidates with interests in radio astronomy techniques, instrumentation, computation, and theory are encouraged to apply. Applicants should describe how their research or technical interests couple with NRAO telescopes or science."</t>
  </si>
  <si>
    <t>Hubble Fellowship Program</t>
  </si>
  <si>
    <t>Sciences
Mathematics and Physics</t>
  </si>
  <si>
    <t>Fellowship research</t>
  </si>
  <si>
    <t>"The NASA Hubble Fellowship Program (NHFP) provides an opportunity for recent postdoctoral scientists to conduct independent research which contributes to any area of NASA Astrophysics. The research will be carried out at United States host institutions chosen by each fellow, subject to a limitation on the numbers of fellows that can be hosted by any one institution."</t>
  </si>
  <si>
    <t>Neotropical Migratory Bird Conservation Act Grants</t>
  </si>
  <si>
    <t>grant</t>
  </si>
  <si>
    <t>"The NMBCA program provides matching grants to Neotropical migratory bird conservation projects throughout the Western Hemisphere, with at least 75 percent of funding going to projects outside the United States. The competitive grants require that grant requests be matched by partner contributions at no less than a 3-to-1 ratio."</t>
  </si>
  <si>
    <t>10+ years postdoc</t>
  </si>
  <si>
    <t>&lt;$15,000</t>
  </si>
  <si>
    <t>*CLOSED*  
"Research grants of up to $15,000 will be awarded to one mid-career professional whose research project relates to the appreciation, interpretation, preservation, study and teaching of European art, architecture and related disciplines from antiquity to the early 19th century, in the context of historic preservation in the United States. Potential Kress Fellow projects could include the exploration of shared European and American influences in style, design, materials, construction techniques, building types, conservation and interpretation methodologies, philosophical and theoretical attitudes, and other factors applicable to preservation in both Europe and America."</t>
  </si>
  <si>
    <t>James Marston Fitch Mid-Career Fellowship</t>
  </si>
  <si>
    <t>*CLOSED*  
"Research grants of up to $15,000 will be awarded to one or two mid-career professionals who have an academic background, professional experience and an established identity in one or more of the following fields: historic preservation, architecture, landscape architecture, urban design, environmental planning, architectural history and the decorative arts. The James Marston Fitch Charitable Foundation will consider proposals for the research and/or the execution of the preservation-related projects in any of these fields."</t>
  </si>
  <si>
    <t>Religion</t>
  </si>
  <si>
    <t>Research Fellowship</t>
  </si>
  <si>
    <t>Up to $70,000</t>
  </si>
  <si>
    <t>*No new DEADLINE as of 7.1.21*                                                                                "Research fellowships offer support for research and writing in Buddhist studies for scholars who hold a PhD degree, with no restrictions on time from the PhD.
These fellowships provide scholars time free from teaching and other responsibilities to devote full-time to research and writing on the project proposed. The fellowship period may last up to nine months, during which time no teaching, commissioned research on other topics, or administrative duties are allowed. The fellowship may be separated into two periods, each of which must be a minimum of three months. If the entire duration is less than a total of nine months (minimum of six months), the stipend will be prorated."</t>
  </si>
  <si>
    <t>full-time professor</t>
  </si>
  <si>
    <t>up to $15,000</t>
  </si>
  <si>
    <t>*EXPIRED*                                                                                       "The Alliance Call for Joint Projects is open to full-time officers of instruction of professorial rank, from all disciplines at Columbia University, École Polytechnique, Sciences Po, and Paris Panthéon-Sorbonne University. Projects must be presented jointly by at least one faculty member from Columbia University and one faculty member from any one of the three French institutions. Third parties may be part of the Joint Project team as long as the team includes at least one faculty member from Columbia University and at least one faculty member from any one of the three French institutions. The Alliance Program will fund projects up to $15,000 for travel, materials, technological support, and other expenses in the design/implementation of the project. The grant cannot be used for salary, stipends, Per Diem, or teaching-assistant wages. Special consideration will be given to those projects which aim to promote sustainable relationships between departments or schools in the Alliance network."</t>
  </si>
  <si>
    <t>National Science Foundation</t>
  </si>
  <si>
    <t>Sciences
Physics</t>
  </si>
  <si>
    <t>$90m for 300 grants</t>
  </si>
  <si>
    <t>"The Division of Physics (PHY) supports physics research and the preparation of future scientists in the nation’s colleges and universities across a broad range of physics disciplines that span scales of space and time from the largest to the smallest and the oldest to the youngest. The Division is comprised of disciplinary programs covering experimental and theoretical research in the following major subfields of physics: Atomic, Molecular and Optical Physics; Computational Physics; Elementary Particle Physics; Gravitational Physics; Integrative Activities in Physics; Nuclear Physics; Particle Astrophysics; Physics of Living Systems; Plasma Physics (supported under a separate solicitation); and Quantum Information Science."</t>
  </si>
  <si>
    <t>A&amp;H</t>
  </si>
  <si>
    <t>"The Virginia Foundation for the Humanities offers fellowships to scholars and writers in the humanities. There are no restrictions on topic, and applications are invited from across the broad spectrum of the humanities. The maximum fellowship stipend is $15,000 per semester. Fellowships are awarded for one semester or a full academic year."</t>
  </si>
  <si>
    <t>Salary replacement plus travel</t>
  </si>
  <si>
    <t>"As part of our mission to support innovation in historical research, The Davis Center welcomes applications for Fellowships from scholars whose research engages broadly and imaginatively with the theme that the Center sets each year. Our aim is to bring to five to six Fellows per semester to the Center where they pursue their own scholarly projects and contribute to the intellectual community of the Center and the university. We are also pleased to announce one residential Postdoctoral Research Associate or more senior position, focused on the more specific topic of "Revolutionary Change.""</t>
  </si>
  <si>
    <t>Sciences
Mathematics</t>
  </si>
  <si>
    <t>"The School of Mathematics at the Institute for Advanced Study welcomes applications from mathematicians and theoretical computer scientists at the post-doctoral and mid-to-senior career levels, and strongly encourages applications from women and minorities.  Stipends, on-campus housing, and other resources are available for periods of 4-11 months for individual researchers in all mathematical subject areas.  Successful candidates will be free to devote themselves full-time to research.  The School supports approximately 85 Members per year."</t>
  </si>
  <si>
    <t>*Updated 7/20/21*"The Statistics Program supports research in statistical theory and methods, including research in statistical methods for applications to any domain of science and engineering. The theory forms the base for statistical science. The methods are used for stochastic modeling, and the collection, analysis and interpretation of data. The methods characterize uncertainty in the data and facilitate advancement in science and engineering. The Program encourages proposals ranging from single-investigator projects to interdisciplinary team projects."</t>
  </si>
  <si>
    <t>Google Research Scholar Program</t>
  </si>
  <si>
    <t>Research Scholar</t>
  </si>
  <si>
    <t>Sciences
Engineering
Computer Science</t>
  </si>
  <si>
    <t>award</t>
  </si>
  <si>
    <t>"The Research Scholar Program provides unrestricted gifts to support research at institutions around the world, and is focused on funding world-class research conducted by early-career professors."</t>
  </si>
  <si>
    <t>*EXPIRED**                                                                                "The Nancy Weiss Malkiel Scholars Award, supported by the Andrew W. Mellon Foundation and administered by the Woodrow Wilson National Fellowship Foundation, supports junior faculty whose research focuses on contemporary American history, politics, culture, and society, and whose service addresses the need for a more inclusive, responsive academic culture on their campus for peers and students. Eligible applicants must be assistant professors in tenure track positions with a record of service that prioritizes the creation of an inclusive campus community for underrepresented students and scholars."</t>
  </si>
  <si>
    <t>Scholarly Editions and Translations Grants</t>
  </si>
  <si>
    <t>A&amp;H
English Literature and Translation</t>
  </si>
  <si>
    <t>project</t>
  </si>
  <si>
    <t>Scholarly Editions and Translations grants support the preparation of editions and translations of pre-existing texts of value to the humanities that are currently inaccessible or available only in inadequate editions or transcriptions. Typically, the texts and documents are significant literary, philosophical, and historical materials; but other types of work, such as musical notation, are also eligible.
Projects must be undertaken by at least one editor or translator and one other collaborating scholar. These grants support full-time or part-time activities for periods of one to three years.</t>
  </si>
  <si>
    <t>Lewis and Clark Fund for Field Research in Astrobiology Grants-fund-exploration-and-field-research-astrobiology</t>
  </si>
  <si>
    <t>“The Lewis and Clark Fund for Exploration and Field Research in Astrobiology is open to field studies in any area of interest to astrobiology. Applications will be reviewed by a committee that includes members of the NASA Astrobiology Institute, the APS, and the wider science community as needed. Recipients will be designated as Lewis and Clark Field Scholars in Astrobiology.”</t>
  </si>
  <si>
    <t>&lt;5 years</t>
  </si>
  <si>
    <t>$47,000/year for two years</t>
  </si>
  <si>
    <t>*EXPIRED*                                                                                  "The Mellon Fellow’s primary responsibility will be to conduct research for exhibitions exploring the intersections of history, art, and science. The Fellow will be fully integrated into the APS Museum staff, working closely with others on the curatorial team. They will select objects for exhibitions and develop thematic narratives. The Fellow will gain extensive experience in planning and implementing exhibitions as well as researching and writing interpretive materials for non-scholarly audiences (exhibition labels and text panels, website text, etc.). Depending on the Fellow’s interests and the Museum’s needs, they may also participate in public programming, museum education, collections management, and website development. Twenty percent of the Fellow’s time will be reserved for their own independent research, ideally using resources at the APS or kindred regional institutions."</t>
  </si>
  <si>
    <t>NYPL</t>
  </si>
  <si>
    <t>libs</t>
  </si>
  <si>
    <t>Scholar in Residence</t>
  </si>
  <si>
    <t>The Scholars-in-Residence Program offers both long-term and short-term fellowships designed to support and encourage top-quality research and writing on the history, politics, literature, and culture of the peoples of Africa and the African diaspora, as well as to promote and facilitate interdisciplinary exchange among scholars and writers in residence at the Schomburg Center.
Long-term fellowships provide a $35,000 stipend to support postdoctoral scholars and independent researchers who work in residence at the Center for a continuous period of six months. The Scholars-in-Residence Program provides funding for six fellows each year, three of whom are supported by funding from the National Endowment for the Humanities. Selected fellows can choose to begin their term either in September or in January. Fellows are provided with individual office space and a computer, research assistance, and full access to the unparalleled resources of the Schomburg Center. In addition to pursuing their own research projects, fellows also engage in an ongoing interdisciplinary exchange of ideas, sharing their research with one another in a weekly work-in-progress seminar. While in residence, they are also exposed to the vibrant intellectual life of the Schomburg through its public exhibitions, panels, screenings, and events.
Short-term fellowships are open to postdoctoral scholars, independent researchers, and creative writers (novelists, playwrights, poets) who work in residence at the Center for a continuous period of one to three months. Short-term fellows receive a stipend of $3000 per month. (These short-term fellowships are a recent addition to the Scholars-in-Residence Program, having been offered for the first time in the 2017-18 application cycle; they are funded by an endowment provided by the Ford Foundation and the Newhouse Foundation.)
Both long-term and short-term fellowships are awarded for continuous periods in residence at the Schomburg Center. Fellows are expected to devote their full time to their research and writing. They are expected to work regularly at the Schomburg Center and to participate in the intellectual life of the Scholars-in-Residence Program. Fellows may not be employed during the period in residence, except on sabbaticals from their home institutions. Those selected as Scholars-in-Residence are encouraged to supplement their stipends with funding support from their home institutions or other non-residential fellowships or grants if the requisite approval is received from the Schomburg Center.</t>
  </si>
  <si>
    <t>University of Edinburgh</t>
  </si>
  <si>
    <t>American Philosophical Society Fellowship</t>
  </si>
  <si>
    <t>Home American Philosophical Society Fellowship
American Philosophical Society Fellowship
Through its Franklin Research Grants program, the American Philosophical Society sponsors one Fellowship per year at the Institute for Advanced Studies in the Humanities (IASH), for research in Edinburgh.  The Fellowship is for two to four months and is for research in any aspect of the humanities and social sciences; we would particularly welcome applications linked to the themes of the Institute Project on Decoloniality (IPD'24) taking place at IASH from 2021 to 2024. This project invites scholars to visit Edinburgh and conduct research on the theme of decoloniality, broadly understood. The Fellowship is available only to residents of the United States (either American citizens or foreign nationals or permanent residents affiliated with a U.S. institution) or American citizens resident abroad.
A bursary of up to $6,000 will be offered to successful candidates to contribute towards travel expenses and a monthly subsistence payment.
Fellows will be expected to give a presentation about their research during their stay at IASH, and to provide a project and financial report at the end of their Fellowship. Please see Notes for guidance below for more detail on eligibility and obligations.</t>
  </si>
  <si>
    <t>Scholarly Communication Center</t>
  </si>
  <si>
    <r>
      <rPr>
        <rFont val="Calibri"/>
        <color rgb="FF1155CC"/>
        <sz val="10.0"/>
        <u/>
      </rPr>
      <t>Building Contextual Alternatives</t>
    </r>
    <r>
      <rPr>
        <rFont val="Calibri"/>
        <color rgb="FF1155CC"/>
        <sz val="10.0"/>
        <u/>
      </rPr>
      <t xml:space="preserve"> to Scholarly Journals</t>
    </r>
  </si>
  <si>
    <t>Concerns about “predatory” or questionable journals have led many academics to seek out simple checklists of safe or unsafe journals, which reflect a real need among researchers to quickly make sense of an ever-increasing range of publication options. But the “safe/unsafe” approach obscures the contextual and constructed nature of authority in information, instead valuing the prestige of a small group of commercial entities. Existing lists tend to hold open access journals to different standards than subscription based journals, and view new or smaller publications more critically than large commercial publishers. In turn, these lists and discussions often overlook exploitative or problematic aspects of traditional subscription publishing. They also replicate biases against certain forms of research, such as those from non-anglophone countries who have been historically and intentionally excluded from the prestige economy of scholarly conversation. We want to reckon with these issues through a transparent evaluation process that seeks to address both the labor of evaluation and the bias inherent in the existing system.
Our group came together to try to address this problem with Reviews: the Journal of Journal Reviews (RJJR), a scholarly publication that will invite peer-reviewed evaluations of journals, both open and paywalled, from across the world. Our vision is to create a place for authors to find and share useful information about unfamiliar journals in a format that emphasizes the subjective, nuanced nature of this challenge. Our goal is to not create another set of “safe” or “unsafe” journals, but to provide authors with enough information in an easily digestible format to allow them to make their own decisions based on their needs. As RJJR publishes reviews, authors interested in a potential journal could look to RJJR for evaluations already completed. Even when a particular journal has not been reviewed, the collection of reviews can demonstrate ways to carry out a thoughtful, nuanced, subjective analysis. We conceive of this as an iterative process which allows for open feedback and updates. At the same time, it gives librarians and others who regularly perform this often unseen work a peer-reviewed means of recognition of their labor and creates efficiencies for other librarians who need to investigate the same journal.
Biases are not eliminated in this style of review, but instead we ask each reviewer to provide justifications and context for their judgments. We anticipate that there will be room for a conversation, an evolution of journal practices, and the reporting of those practices as they are critically evaluated in a transparent way. Academic publishing is not a stagnant activity, nor should our evaluation mechanisms be.
RJJR rests on a rubric or a model of processes and tools for authors to use when evaluating a journal. A rubric offers a method of evaluation, rather than a checklist of binaries or a simple watchlist of outlets to avoid, and we are providing careful guidance to point at critical questions, rather than expected answers. In line with some of the facets of an ethics of care, we want evaluations to be relational and situated, and to reflect a sense of collective responsibility for our scholarly landscape. The rubric is supported by our values, including: taking a critical approach to prestige, supporting labor not traditionally seen as scholarly work, ensuring an environment inclusive of diverse voices, being transparent about the process, acknowledging nuance in journal evaluation, and accepting that change happens. RJJR represents a much-needed reckoning: with the above values, with the longstanding problem of good/bad lists in scholarly journal evaluation, and with the uncredited intellectual labor of scholarly communication professionals.</t>
  </si>
  <si>
    <t>National Endowment of the Humanities</t>
  </si>
  <si>
    <t>Collaborative Research</t>
  </si>
  <si>
    <t>Debate, exchange of ideas, and working together—all are basic activities that advance humanities knowledge and foster rich scholarship that could not be accomplished by a single researcher working alone. The Collaborative Research program aims to advance humanistic knowledge by supporting sustained collaboration between two or more scholars. Collaborators may be drawn from one or more institutions. International collaboration is encouraged, but the project director must be based at a U.S. institution, and project teams must include an equitable balance of scholars based at U.S. institutions and scholars based at non-U.S. institutions. The program encourages projects that propose diverse approaches to topics, incorporate multiple points of view, and explore new avenues of inquiry in the humanities.
The program allows projects that propose research in a single field of study, as well as interdisciplinary work. Projects that include partnerships with researchers from the natural and social sciences are encouraged but must employ a humanistic research agenda. Collaboration among different types of institutions is welcome.
Proposed projects must aim to result in tangible and sustainable outcomes, such as co-authored or multi-authored books; born-digital publications; themed issues of peer-reviewed journals; a series of peer-reviewed articles; or open-access scholarly digital resources. All project outcomes must incorporate collaboration and interpretation to address significant humanities research questions.
The program includes four project categories: Planning International Collaboration, Conference, Manuscript Preparation, and Scholarly Digital Projects. The categories support different project types or stages and have different performance periods and award ceilings. Applicants must specify only one project category for support.</t>
  </si>
  <si>
    <t>SocSci
Anthropology and Archeology</t>
  </si>
  <si>
    <t>up to $1,000</t>
  </si>
  <si>
    <t>"These awards are intended to support faculty research collaborations in Classics (any sub-discipline) with undergraduate students. Applications should include statements from the faculty and student researchers outlining the nature of the project, giving a prospective timeline for the project, an account of the respective responsibilities and intellectual contributions of faculty member and student, as well as a budget indicating how the money will be spent (the award covers such expenses as books, supplies, and travel for the student but not honoraria). The application should also indicate whether the project is receiving support from the applicant’s home institution. Finally the application should describe what the research pair envisages the nature of the final product to be, and what contribution it is intended to make to the field. The faculty member participating in this project must be a current CAMWS member at the time of application. The undergraduate does not. If awarded the grant, the undergraduate will receive a complimentary membership in CAMWS for the year of the grant."</t>
  </si>
  <si>
    <t>$300,000 plus</t>
  </si>
  <si>
    <t>"This solicitation supports fundamental research to realize the promise of disruptive transformations in public health, medicine and healthcare. These transformations will require well-coordinated, multi-disciplinary approaches that complements the long-standing disease and application-focused research efforts with fundamental, innovative, and high-risk research that draws from multiple domains of computer and information science, engineering, and the social, behavioral and economic sciences. Proposals can address computational, algorithmic, real-time and systemic level issues, as well as models of uptake, diffusion, and use of the resulting solutions amongst different demographic and social groups. Research can also explore advances in science in remote or unconventional settings, the role of appropriate incentives, the risk of potential disparities, and the associated legal and ethical considerations. Accordingly, this interagency solicitation represents the collaboration of NSF and the NIH.
The work to be funded by this solicitation must make fundamental contributions to two or more disciplines, such as computer or information sciences, engineering, social, behavioral, cognitive and/or economic sciences and address a key health problem."</t>
  </si>
  <si>
    <t>*EXPIRED*                                                                               "The Summer Faculty Research Program provides science and engineering faculty members from institutions of higher education the opportunity to participate in research of mutual interest to the faculty member and peers at U.S. Navy laboratories for a 10-week period....
Program participants have an opportunity to establish continuing research relationships with the R&amp;D personnel of the host laboratories which may result in sponsorship of the participant’s research at their home institutions."</t>
  </si>
  <si>
    <t>Collaborative Cluster Fellowships</t>
  </si>
  <si>
    <t>$500/week</t>
  </si>
  <si>
    <t>*No new DEADLINE as of 7.1.21*                                                                                         "The John Carter Brown Library seeks to encourage collaboration among scholars as they explore and shed light on the Library's collections by providing support for group projects. Collaborative Cluster Fellowships are meant to expand the disciplinary scope of research at the Library and support cutting-edge research methods."</t>
  </si>
  <si>
    <t>STEM
Arts &amp; Humanities</t>
  </si>
  <si>
    <t>seed grant</t>
  </si>
  <si>
    <t>$1,500-$3,000</t>
  </si>
  <si>
    <t>*EXPIRED*
The Center for Science and Society at Columbia University invites proposals for innovative interdisciplinary projects involving the study of science in society that need modest amounts of seed money to initiate collaborative research and programming. All full-time faculty, postdocs, graduate students and undergraduates at Columbia University and Barnard College are eligible, and proposals are welcomed especially from undergraduate and graduate students. Projects might include small research projects, support for a reading group, inviting a speaker, or a contribution towards developing a conference. Grants can be combined with any other funding held by the applicants.</t>
  </si>
  <si>
    <t>art history</t>
  </si>
  <si>
    <t>pre/post doc</t>
  </si>
  <si>
    <t>$60.000/yr</t>
  </si>
  <si>
    <t>*No new DEADLINE as of 2.10.21, will be posted August 2021*                                                                                "The Thoma Foundation is now accepting applications for the inaugural Marilynn Thoma Fellowship in Spanish Colonial Art! The Marilynn Thoma Fellowship provides unrestricted funding in the amounts of $45,000 for pre-doctoral dissertation research and $60,000 for post-doctoral research, and is the first portable, unrestricted fellowship devoted exclusively to Spanish Colonial art. International scholars are encouraged to apply."</t>
  </si>
  <si>
    <t xml:space="preserve">Sciences
Health and Medicine
</t>
  </si>
  <si>
    <t>junior faculty</t>
  </si>
  <si>
    <t>up to $100,000</t>
  </si>
  <si>
    <t xml:space="preserve"> The major goal of this program is to assist in the development of the careers of junior investigators committed to pursuing careers in the field of aging research. GMRF and AFAR support research projects concerned with understanding the basic mechanisms of aging. Projects investigating age-related diseases are also supported, especially if approached from the point of view of how basic aging processes may lead to these outcomes.</t>
  </si>
  <si>
    <t>Short-Term Fellowship</t>
  </si>
  <si>
    <t>$2,100/month for 2-4 months</t>
  </si>
  <si>
    <t>*EXPIRED*                                                                           "Sponsorship of research at the John Carter Brown Library is reserved exclusively for scholars whose work is centered on the colonial history of the Americas, North and South, including all aspects of European, African, and Native American engagements in global and comparative contexts. Short-term fellowships are open to individuals who are engaged in pre- and post-doctoral, or independent research, regardless of nationality. Graduate students must have passed their preliminary or general examinations at the time of application."</t>
  </si>
  <si>
    <t>Genetics Prize</t>
  </si>
  <si>
    <t>Sciences
Biology and Earth Science</t>
  </si>
  <si>
    <t>*The Gruber Foundation is not a grant-making organization.*"The Genetics Prize is presented to a leading scientist, or up to three, in recognition of groundbreaking contributions to any realm of genetics research.
The Gruber Foundation established and awarded its first Genetics Prize in 2001. This year of monumental accomplishment in genetics research, with the successful sequencing of the human genome, was a particularly auspicious time to launch the world's first major international prize devoted specifically to achievements in the realm of genetics research."</t>
  </si>
  <si>
    <t>NatureNet Science Fellow Program</t>
  </si>
  <si>
    <t>Fellowship travel</t>
  </si>
  <si>
    <t>"The Conservancy has established the NatureNet Science Fellows Program in partnership with a rotating set of the world’s leading universities to create a reservoir of new interdisciplinary science talent that will carry out the new work of conservation. Fellows and grantees will work with a Nature Conservancy mentor and a hosting senior scholar (or scholars) to develop a research program. This joint mentorship model allows for fellows and grantees to take fundamental research questions and the traditional support provided by universities and embed themselves in the practice of applied conservation through TNC networks. Within this framework, the NatureNet program goals are to:
Support innovative and impact-oriented research that help deliver TNC outcomes;
Invest in the talent potential of a new generation of climate change leaders;
Recruit scientists who bring a diversity of culture, experience, and ideas into conservation; and
Provide partner universities and fellows with access to real-world conservation issues."</t>
  </si>
  <si>
    <t>Blueprint for Neuroscience Research</t>
  </si>
  <si>
    <t>Sciences
Psychology and Neuroscience</t>
  </si>
  <si>
    <t xml:space="preserve">Clifford Prize </t>
  </si>
  <si>
    <t>"The James L. Clifford Prize goes to the author of an article on an outstanding study of some aspect of eighteenth-century culture, interesting to any eighteenth-century specialist, regardless of discipline. It carries an award of $500.
Rules:
· The article should be no longer than 15,000 words.
· The article must have been published in a journal or any peer-reviewed publication with a print date between July 2016 and June 2017.
· The article may be nominated by a member of the society, by its author, or by an editor of the publishing journal. Self-nominations are limited to one article per year.
· Nominations are requested in pdf format to the ASECS Business Office. All submissions must be received in the ASECS office no later than 1 January.
· The author must be a member of the ASECS at the time of submission."</t>
  </si>
  <si>
    <t>July 1 OTHER DEADLINE
"National Speleological Society International Exploration Grants foster and encourage the work of NSS cavers in cave exploration, survey, photography and research projects around the world. Grants are given in support of group equipment for expeditions outside of the United States and its territories. Grants have varied between $200 and $1500 in past ten years and have supported caving on 6 continents by dozens of US cavers. Projects have included work in Mexico, Cuba, the Dominican Republic, Egypt, Borneo, Chile, Nepal, China, and many more countries. As few as three and as many as twelve grants have been given in a single year. Overall since 2008 more than $55,000 has been granted for nearly 70 expeditions in 25 countries."</t>
  </si>
  <si>
    <t>science</t>
  </si>
  <si>
    <t>$13,500/month</t>
  </si>
  <si>
    <t>"The Baruch S. Blumberg NASA/Library of Congress Astrobiology Program establishes a focus in the nation’s capital for the exploration of issues surrounding life’s future in the universe, for humans and other species, on Earth and beyond. The program encourages discussion and reflection on the potential impacts of discovering whether there is life beyond our planet. One researcher is appointed annually to be in residence at The John W. Kluge Center, to make use of the Library of Congress collections, as well as to convene programs that ensure the subject of astrobiology’s role in culture and society receives considered treatment each year in Washington, D.C."</t>
  </si>
  <si>
    <t>Scholars Award</t>
  </si>
  <si>
    <t xml:space="preserve">“The McKnight Endowment Fund for Neuroscience supports innovative research designed to bring science closer to the day when diseases of the brain can be accurately diagnosed, prevented, and treated. To this end, the McKnight Endowment Fund for Neuroscience invites applications for the 2018 McKnight Scholar Awards.
Background: These awards were established to encourage emerging neuroscientists to focus on disorders of learning and memory. Applicants for the McKnight Scholar Award must demonstrate interest in solving important problems in relevant areas of neuroscience, including the translation of basic research to clinical neuroscience. Awards are given to exceptional young scientists who hold the M.D. and/or Ph.D. degree and who are in the early stages of establishing an independent laboratory and research career. Traditionally, successful candidates have held faculty positions for at least one year.”  </t>
  </si>
  <si>
    <t>APA Congressional Fellowship Program</t>
  </si>
  <si>
    <t>$75,000-90,000</t>
  </si>
  <si>
    <t>"The purpose of this fellowship is to provide psychologists with an invaluable public policy learning experience, to contribute to the more effective use of psychological knowledge in government and to broaden awareness about the value of psychology-government interaction among psychologists and within the federal government. Fellows spend one year working on the staff of a member of Congress or congressional committee. Activities may involve drafting legislation, conducting oversight work, assisting with congressional hearings and events, and preparing briefs and speeches. Fellows also attend a two-week orientation program on congressional and executive branch operations, which provides guidance for the congressional placement process, and participate in a yearlong seminar series on science and public policy issues. The American Association for the Advancement of Science (AAAS) administers these professional development activities for the APA fellows and for fellows sponsored by over two dozen other professional societies."</t>
  </si>
  <si>
    <t>Brain Research Foundation</t>
  </si>
  <si>
    <t>Seed Grant</t>
  </si>
  <si>
    <t>"Brain Research Foundation supports neuroscience research that leads to advanced understanding of brain function in children and adults. This Foundation is committed to advance discoveries that will lead to novel treatments and prevention of all neurological diseases."
"Brain Research Foundation’s Fay/Frank Seed Grant Program was founded in 1981 with the goal of providing start-up money for new and innovative research projects that have the potential to become competitive for an NIH grant or other external funding sources. Our goal is to have this grant succeed in opening future opportunities for research, collaboration and scientific advancement."</t>
  </si>
  <si>
    <t>Visiting Fellowships</t>
  </si>
  <si>
    <t>A&amp;H
SocSci
Religion</t>
  </si>
  <si>
    <t>mid-career/senior academic</t>
  </si>
  <si>
    <t>£5,000</t>
  </si>
  <si>
    <t>"These Fellowships are offered to support research in any area of the arts, humanities, or the social sciences that has relevance to the study of Islam or the Muslim world. Each Fellowship carries a grant of £5,000 and membership of the Common Room. The grant is intended as a supplementary award and may be held in conjunction with other research grants, stipends, or sabbatical salaries. Fellowships are tenable from 1 October for an academic year, though shorter periods will be considered."</t>
  </si>
  <si>
    <t>Research Fellowships </t>
  </si>
  <si>
    <t>$3,500-4-000</t>
  </si>
  <si>
    <t>"The Ransom Center['s]... extensive collections provide unique insight into the creative process of writers and artists, deepening our understanding and appreciation of literature, photography, film, art, and the performing arts." 
"For its 2019–2020 fellowship program, the Ransom Center will award 10 dissertation fellowships and up to 50 postdoctoral fellowships for projects that require substantial on-site use of its collections. The collections support research in all areas of the humanities, including literature, photography, film, art, the performing arts, music, and cultural history."</t>
  </si>
  <si>
    <t>Research Grants</t>
  </si>
  <si>
    <t>&lt;$25,000</t>
  </si>
  <si>
    <t>7/15/21 OTHER DEADLINE
"The Leakey Foundation exclusively funds research related specifically to human origins. Priority of funding is commonly given to exploratory phases of promising new research projects that meet the stated purpose of the Foundation."</t>
  </si>
  <si>
    <t>Advancing Informal STEM Learning</t>
  </si>
  <si>
    <t>programming</t>
  </si>
  <si>
    <t>“The Advancing Informal STEM Learning (AISL) program seeks to advance new approaches to and evidence-based understanding of the design and development of STEM learning opportunities for the public in informal environments; provide multiple pathways for broadening access to and engagement in STEM learning experiences; advance innovative research on and assessment of STEM learning in informal environments; and engage the public of all ages in learning STEM in informal environments.
The AISL program supports six types of projects: (1) Pilots and Feasibility Studies, (2) Research in Service to Practice, (3) Innovations in Development, (4) Broad Implementation, (5) Literature Reviews, Syntheses, or Meta-Analyses, and (6) Conferences.”</t>
  </si>
  <si>
    <t>Translation Projects Fellowship</t>
  </si>
  <si>
    <t>fellowship project</t>
  </si>
  <si>
    <t>$12,500-$25,000</t>
  </si>
  <si>
    <t>"Through its fellowships in literary translation, the NEA supports the new translation of fiction, creative nonfiction, poetry, and drama into English. Among this year’s projects are awardwinning novels, short stories, poetry, and a play from 15 languages and five continents, including works from Japan, Madagascar, and India. In addition, most of the translated works are appearing for the first time in English and ten of them are by female authors."</t>
  </si>
  <si>
    <t>Fellowship for U.S. Scholars Conducting Field-Based Research on Palestine</t>
  </si>
  <si>
    <t>$6,000-$9,000</t>
  </si>
  <si>
    <t>"The Palestinian American Research Center (PARC) announces its 19th annual U.S. research fellowship competition for doctoral students or scholars who have earned their PhD and whose research will contribute to Palestinian studies. Research must take place in Palestine, Israel, Jordan, or Lebanon."</t>
  </si>
  <si>
    <t>A&amp;H
Creative Arts
Library</t>
  </si>
  <si>
    <t>$2,500/month for 1-3 months</t>
  </si>
  <si>
    <t>"In addition to being the world's largest Shakespeare collection, the Folger is home to major collections of other rare Renaissance books, manuscripts, and works of art. Located a block from the US Capitol, the Folger serves a wide audience of scholars, visitors, teachers, students, families, and theater- and concert-goers." ... "We welcome applications from archivists, creative artists, curators, librarians, performers, and playwrights whose research will benefit from focused engagement with the Folger collections."</t>
  </si>
  <si>
    <t>A&amp;H
Creative Arts</t>
  </si>
  <si>
    <t>$5,555.55/month for 6-9 months up to $50,000</t>
  </si>
  <si>
    <t>Sciences
Psychology</t>
  </si>
  <si>
    <t>For over half a century, the James McKeen Cattell Fund has provided support for the science and the application of psychology. The Fund offers a program of supplementary sabbatical awards ("James McKeen Cattell Fund Fellowships"). These awards supplement the regular sabbatical allowance provided by the recipients' home institutions, to allow an extension of leave-time from one to two semesters.</t>
  </si>
  <si>
    <t>closed</t>
  </si>
  <si>
    <t>Visiting Scholars Program</t>
  </si>
  <si>
    <t>travel, board, living allowance for one to four months</t>
  </si>
  <si>
    <t>*Closed*"Visiting Scholar Awards provide academic, museum, and independent scholars, as well as doctoral students, working in any field related to British art an opportunity to study the Center’s collection."</t>
  </si>
  <si>
    <t>"Houghton Library is pleased to offer short-term visiting fellowships to assist scholars with the cost of travel and accommodation to come and pursue their research at the library....
The collections of Houghton Library touch upon almost every aspect of the human record, particularly the history and culture of Europe and North America, and include special concentrations in the history of printing and of theater. Materials held here range from medieval manuscripts and early printed books to the working papers of living writers. Fellows will also have access to collections in Widener Library as well as to other libraries at the University. Preference is given to scholars whose research is closely based on materials in Houghton collections, especially when those materials are unique; and we particularly welcome proposals for research projects drawing on our holdings related to Africa, the Americas, Asia, and Oceania, and to histories of marginalized people; fellowships are normally not granted to scholars who live within commuting distance of the library. Each fellow is expected to be in residence at Houghton for at least four weeks."</t>
  </si>
  <si>
    <t>"overseen by Houghton Library, the Poetry Room features a circulating collection of 20th and 21st century English-language poetry, an encyclopedic array of poetry serials, the Blue Star collection of rare books, broadsides, chapbooks, and typescripts, and a landmark collection of audio recordings (1933 to the present)....
The WPR Creative Fellowship invites poets, writers, multimedia artists, and scholars of contemporary poetry to propose creative projects that would benefit from the resources available in the room and to generate new work that further actualizes the Poetry Room's collectionsâ€”particularly the audio-video archive.  In addition to conducting research and pursuing projects, the WPR fellow will be asked to present a works-in-progress event in conjunction with the Poetry Room’s public programming season and/or to contribute a work or drafts (produced during the fellowship) to the WPR archive. The recipient is expected to work on-site at the Woodberry Poetry Room for at least 10 days during the Harvard academic year."</t>
  </si>
  <si>
    <t>Fdn</t>
  </si>
  <si>
    <t>$4200/month for 4-12 months</t>
  </si>
  <si>
    <t>A period of residence to use the AAS library's resources for research and writing.</t>
  </si>
  <si>
    <t>Margaret Henry Dabney Penick Resident Scholar Program</t>
  </si>
  <si>
    <t>$45,000/ 9 months</t>
  </si>
  <si>
    <t>"The Margaret Henry Dabney Penick Resident Scholar Program supports scholarly research into the legacy of Patrick Henry and his political circle, the early political history of Virginia, the history of the American Revolution, founding era ideas and policy-making, as well as science, technology, and culture in colonial America and the Early National Period.... Senior scholars are particularly encouraged to apply, but all applicants must hold a PhD to be awarded the fellowship."</t>
  </si>
  <si>
    <t>Short-Term Research Fellowship</t>
  </si>
  <si>
    <t>$1,750/month</t>
  </si>
  <si>
    <t>"Founded by Henry Francis du Pont, Winterthur (pronounced “winter-tour”) is the premier museum of American decorative arts, reflecting both early America and the du Pont family’s life here. Its 60-acre naturalistic garden is among the country’s best, and its research library serves scholars from around the world." ... "Academic, museum, and independent scholars, including graduate students receive one- to three-month short term fellowships."</t>
  </si>
  <si>
    <t>Maker-Creator Fellowship</t>
  </si>
  <si>
    <t>"Founded by Henry Francis du Pont, Winterthur (pronounced “winter-tour”) is the premier museum of American decorative arts, reflecting both early America and the du Pont family’s life here. Its 60-acre naturalistic garden is among the country’s best, and its research library serves scholars from around the world." ... "These 1-3 month fellowships are designed for artists, writers, filmmakers, horticulturalists, craftspeople, and others who wish to examine, study, and immerse themselves in Winterthur’s vast collections in order to inspire creative and artistic works for general, non-academic audiences. The aim of this initiative is to open our collections to a wider audience who can interpret the past and our collections in unique and imaginative ways outside of traditional academic avenues."</t>
  </si>
  <si>
    <t>New York State Archives Larry J. Hackman Research Residency Program</t>
  </si>
  <si>
    <t>"The New York State Archives announces the availability of awards for qualified applicants to conduct research using historical records in the Archives. The Larry J. Hackman Research Residency Program is intended to support advanced work on New York State history, government, or public policy by defraying travel-related research expenses. It encourages public dissemination of research products."</t>
  </si>
  <si>
    <t>Women’s Caucus Editing and Translation Fellowship</t>
  </si>
  <si>
    <t>"The ASECS Women’s Caucus Editing and Translation Fellowship, is an annual award of $1000 to support an editing or a translation work in progress of an eighteenth-century primary text on a feminist or a Women’s Studies subject. Editing and translation work of eighteenth-century texts in languages other than English are eligible. The award is open to all members of ASECS who have received a PhD. Proposals from Emeritae/i faculty that do not already have professional support for the project will also be considered. The award is meant to fund works in progress, commensurate in scope with a scholarly article-length project to a longer scholarly and/or a classroom edition with a strong scholarly basis for which research and work is well under way, rather than work that is already completed. 
To be eligible for the prize, projects must translate and/or edit works by eighteenth-century women writers or works that significantly advance our understanding of women’s experiences in the eighteenth century or offer a feminist analysis of any aspect of eighteenth-century culture and/or society. Projects typically fall within the period from 1660 to 1820."</t>
  </si>
  <si>
    <t>History of Art Grants Program</t>
  </si>
  <si>
    <t>Project
Dissemination</t>
  </si>
  <si>
    <t xml:space="preserve">April 1 and October 1 OTHER DEADLINES                                                                    “The History of Art program supports scholarly projects that will enhance the appreciation and understanding of European art and architecture. Grants are awarded to projects that create and disseminate specialized knowledge, including archival projects, development and dissemination of scholarly databases, documentation projects, museum exhibitions and publications, photographic campaigns, scholarly catalogues and publications, and technical and scientific studies.
Grants are also awarded for activities that permit art historians to share their expertise through international exchanges, professional meetings, conferences, symposia, consultations, the presentation of research, and other professional events.”  </t>
  </si>
  <si>
    <t>Debate, exchange of ideas, and working together—all are basic activities that advance humanities knowledge and foster rich scholarship that could not be accomplished by a single researcher working alone. The Collaborative Research program aims to advance humanistic knowledge by supporting sustained collaboration between two or more scholars. Collaborators may be drawn from one or more institutions. International collaboration is encouraged, but the project director must be based at a U.S. institution, and project teams must include an equitable balance of scholars based at U.S. institutions and scholars based at non-U.S. institutions. The program encourages projects that propose diverse approaches to topics, incorporate multiple points of view, and explore new avenues of inquiry in the humanities.</t>
  </si>
  <si>
    <t>Burroughs Wellcome Fund</t>
  </si>
  <si>
    <t>Climate Change and Human Health</t>
  </si>
  <si>
    <t>The Burroughs Wellcome Fund aims to stimulate the growth of new connections between scholars working in largely disconnected fields who might together change the course of climate change’s impact on human health. Over the next two years, we will dedic</t>
  </si>
  <si>
    <t>Mid Career Advancement</t>
  </si>
  <si>
    <t xml:space="preserve">The MCA program offers an opportunity for scientists and engineers at the mid-career stage (see restrictions under Additional Eligibility Information) to substantively enhance and advance their research program and career trajectory. Mid-career scientists are at a critical career transition stage where they need to advance their research programs to ensure long-term productivity and creativity but are often constrained by service, teaching, or other activities that limit the amount of time devoted to research. MCA support is expected to help lift these constraints to reduce workload inequities and enable a more diverse scientific workforce (more women, persons with disabilities, and individuals from groups that have been underrepresented) at high academic ranks.
The MCA program provides protected time, resources, and the means to gain new skills through synergistic and mutually beneficial partnerships, typically at an institution other than the candidate's home institution. Partners from outside the Principal Investigator's (PI) own subdiscipline or discipline are encouraged, but not required, to enhance interdisciplinary networking and convergence across science and engineering fields. Research projects that envision new insights on existing problems or identify new problems made accessible with cutting-edge methodology or expertise from other fields are encouraged.
A key component of a successful MCA will be the demonstration that the PI's current research program could substantively benefit from the protected time, mentored partnership(s), and resources provided through this program, such that there is a substantial enhancement to the PI's research and career trajectory, enabling scientific and academic advancement not likely without this support. 
The MCA is the only cross-directorate NSF program specifically aimed at providing protected time and resources to established scientists and engineers targeted at the mid-career stage. Participating programs in the Directorates for Biological Sciences (BIO), Geosciences (GEO), Social, Behavioral and Economic Sciences (SBE), Education and Human Resources (EHR), and Technology, Innovation and Partnerships (TIP) will accept MCA proposals. To help identify the disciplinary program in which the MCA should be reviewed, PIs are urged to investigate the research areas supported by the different directorates and participating programs. </t>
  </si>
  <si>
    <t>Science and Technology Studies</t>
  </si>
  <si>
    <t>The Science and Technology Studies (STS) program supports research that uses historical, philosophical, and social scientific methods to investigate the intellectual, material, and social facets of the scientific, technological, engineering and mathematical (STEM) disciplines. It encompasses a broad spectrum of topics including interdisciplinary studies of ethics, equity, governance, and policy issues that are closely related to STEM disciplines. 
The program’s review process is approximately six months. It includes appraisal of proposals by ad hoc reviewers selected for their expertise and by an advisory panel that meets twice a year. The deadlines for the submission of proposals are February 2nd for proposals to be funded as early as July, and August 3rd for proposals to be funded in or after January. There is one exception: Doctoral Dissertation Improvement Grant proposals will have only one deadline per year, August 3rd.
The Program encourages potential investigators with questions about the program to contact one of the Cognizant Program Directors. Potential investigators who have concerns about whether their proposal fits the goals of the program are encouraged to send a one-page prospectus of their proposal idea to the Cognizant Program Directors. Guidelines for developing one-page prospectuses are provided below under Guidelines for Developing Effective STS Proposals.</t>
  </si>
  <si>
    <t xml:space="preserve">“The Center would like to enhance its efforts to support analytic and methodological research in support of its surveys, and to engage in the education and training of researchers in the use of large-scale nationally representative datasets.  NCSES welcomes efforts by the research community to use NCSES data for research on the science and technology enterprise, to develop improved survey methodologies for NCSES surveys, to create and improve indicators of S&amp;T activities and resources, and strengthen methodologies to analyze and disseminate S&amp;T statistical data. To that end, NCSES invites proposals for individual or multi-investigator research projects, doctoral dissertation improvement awards, workshops, experimental research, survey research and data collection and dissemination projects under its program for Research on the Science and Technology Enterprise:  Statistics and Surveys.”  </t>
  </si>
  <si>
    <t>$250-2,000</t>
  </si>
  <si>
    <r>
      <rPr>
        <rFont val="Calibri"/>
        <color rgb="FF000000"/>
        <sz val="10.0"/>
      </rPr>
      <t xml:space="preserve">3/15/21 OTHER DEADLINE
"ACL wants to help our members enhance their teaching by encouraging them to travel, take courses, attend professional meetings, and engage in professional development that is concerned with Latin, Greek and the ancient world where these languages prevailed." "ACL members at all levels of teaching are eligible to apply. Must be a member of ACL for at least 3 consecutive years, including this current year and the two preceding years. ACL scholarship recipients may apply every 4 years"
"Funded Activities: registration, room, board and travel for attendeance at ACL Institute; purchase of materials from the ACL Teaching Materials and Resource Center; Expenses connected with enrollment in classes required for Latin Certification; </t>
    </r>
    <r>
      <rPr>
        <rFont val="Calibri"/>
        <i/>
        <color rgb="FF000000"/>
        <sz val="11.0"/>
      </rPr>
      <t>Bona fide</t>
    </r>
    <r>
      <rPr>
        <rFont val="Calibri"/>
        <color rgb="FF000000"/>
        <sz val="11.0"/>
      </rPr>
      <t xml:space="preserve"> summer study programs at home or abroad"</t>
    </r>
  </si>
  <si>
    <t>&lt;3 years postdoc</t>
  </si>
  <si>
    <t>$1,500/month</t>
  </si>
  <si>
    <t>"The Society for French Historical Studies offers two research fellowships (up to $1,500 per award) for maintenance during research in France for a period of at least one month.... These awards are not for travel to or from France.  The proposed fields for research can include all areas of French historical and cultural studies."</t>
  </si>
  <si>
    <t>Research Travel Award</t>
  </si>
  <si>
    <t>&lt;5 years postdoc</t>
  </si>
  <si>
    <t>"The Society for French Historical Studies and the Western Society for French History offer an annual award of $2,000 for research conducted outside North America on any aspect of the history of France. This award is granted to an outstanding American or Canadian scholar who has received the doctorate in history in the five-year period prior to the award (since January 2016 for the 2021 award)"</t>
  </si>
  <si>
    <t>Houghton Library is the principal rare book and manuscript library of Harvard College, which documents the history of Western civilization. "The collections of Houghton Library touch upon almost every aspect of the human record, particularly the history and culture of Europe and North America, and include special concentrations in the history of printing and of theater. Materials held here range from medieval manuscripts and early printed books to the working papers of living writers. Fellows will also have access to collections in Widener Library as well as to other libraries at the University. Preference is given to scholars whose research is closely based on materials in Houghton collections, especially when those materials are unique; and we particularly welcome proposals for research projects drawing on our holdings related to Africa, the Americas, Asia, and Oceania, and to histories of marginalized people; fellowships are normally not granted to scholars who live within commuting distance of the library. Each fellow is expected to be in residence at Houghton for at least four weeks ... (these do not have to be consecutive weeks), and each fellow will be expected to produce a written summary of his/her experience working with the collections."</t>
  </si>
  <si>
    <t>Major Research Instrumentation - Internal Contact</t>
  </si>
  <si>
    <t>MRI</t>
  </si>
  <si>
    <t>Annual deadline of January 19
"The Major Research Instrumentation (MRI) Program serves to increase access to multi-user scientific and engineering instrumentation for research and research training in our Nation's institutions of higher education and not-for-profit scientific/engineering research organizations. An MRI award supports the acquisition or development of a multi-user research instrument that is, in general, too costly and/or not appropriate for support through other NSF programs.
MRI provides support to acquire critical research instrumentation without which advances in fundamental science and engineering research may not otherwise occur. MRI also provides support to develop next-generation research instruments that open new opportunities to advance the frontiers in science and engineering research. Additionally, an MRI award is expected to enhance research training of students who will become the next generation of instrument users, designers and builders."</t>
  </si>
  <si>
    <t>Awards and Prizes</t>
  </si>
  <si>
    <t xml:space="preserve">The Western Association of Women Historians offers 8 annual awards and prizes for articles and books published in the last year, unless otherwise stipulated.  Those of relevance to faculty are:
“The Judith Lee Ridge Prize is an annual prize that recognizes the best article in the field of history published by a WAWH member... The article must have been published in one of the two years preceding the prize year.”
“The Frances Richardson Keller-Sierra Prize is an annual prize that recognizes the best monograph in the field of history published by a WAWH member.”
“The Barbara “Penny” Kanner Award is an annual award given to honor a book, book chapter, article, or electronic media that has been verifiably published or posted in the two years prior to the award year and which illustrates the use of a specific set of primary sources (diaries, letters, interviews etc).”
“The Gita Chaudhuri Prize is an annual prize that recognizes the best monograph about the history of women in rural environments, from any era and any place in the world, published by a WAWH member… The book must have been published in one of the three years prior to the prize.”
“The Frances Richardson Keller-Sierra Prize is an annual $400 prize that recognizes the best monograph in the field of history published by a WAWH member.”  </t>
  </si>
  <si>
    <t>Grants Program</t>
  </si>
  <si>
    <t>"We invest in bold people and transformative ideas in the fields of conservation, education, research, storytelling, and technology. Our goal is to identify, cultivate, and develop the world-changers of today and tomorrow. Our grant recipients are—and have always been—the heart and soul of what we do.
When we award a grant, we're not just funding a project. We are also inviting a scientist, conservationist, educator, or storyteller to join a passionate community of like-minded, global leaders."</t>
  </si>
  <si>
    <t>American Music Abroad Program</t>
  </si>
  <si>
    <t>Creative Arts
Music</t>
  </si>
  <si>
    <t>programming
travel</t>
  </si>
  <si>
    <t>$300/day honorarium plus per diem for food and lodging</t>
  </si>
  <si>
    <t>"American Voices is proud to administer the American Music Abroad program on behalf of the United States Department of State's Bureau of Educational and Cultural Affairs. The American Music Abroad program is designed to communicate America's rich musical contributions to the global music scene as it fosters cross-cultural communication and people-to-people connection to global audiences. Any characteristically American musical genres are welcome to apply in genres including but not limited to: Blues, Bluegrass, Cajun, Country, Folk, Latin, Native American, Gospel, Hip Hop/Urban, Indie Rock, Jazz, Punk, R&amp;B and Zydeco. In cooperation with the U.S. Department of State, American Voices will arrange a series of month-long, multi-country cultural exchange programs including public concerts, interactive performances with local traditional musicians, lecture demonstrations, workshops, jam sessions and media interviews and performances."</t>
  </si>
  <si>
    <t>Council of American Overseas Research</t>
  </si>
  <si>
    <t>National Endowment for the Humanities Senior Research Fellows</t>
  </si>
  <si>
    <t xml:space="preserve">Fellowship awards are for four to six consecutive months (i.e. you can hold the fellowship for four, five, or six consecutive months). Selected fellows are awarded $5,000 per month of the award.
</t>
  </si>
  <si>
    <t xml:space="preserve">“Important information about the fellowship competition:
Fields of study include, but are not limited to, history, philosophy, religious studies, literature, literary criticism, and visual and performing arts. In addition, research that embraces a humanistic approach and methods will be considered.
Applicants must propose four consecutive months of research in an American overseas research center in one of the following countries: Algeria, Armenia, Azerbaijan, Cambodia, Cyprus, Georgia, Indonesia, Mexico, Mongolia, Morocco, Myanmar (Burma), Nepal, Senegal, Sri Lanka or Tunisia
Fellows may travel and carry out research for four to six consecutive months between the period of May 2020 to November 2021.
Selected fellows must work on their research full-time during their period of funding. ​
</t>
  </si>
  <si>
    <t>Multi-country Research Fellowship Program</t>
  </si>
  <si>
    <t>Fellowship on-site</t>
  </si>
  <si>
    <t>&lt;$11,000</t>
  </si>
  <si>
    <t>Applications will reopen in September 2021                                                                           "The Council of American Overseas Research Centers Multi-Country Research Fellowship Program supports advanced regional or trans-regional research in the humanities, social sciences, or allied natural sciences for U.S. doctoral candidates and scholars who have already earned their Ph.D. Preference will be given to candidates examining comparative and/or cross-regional research. Scholars must carry out research for a minimum of 90 days in two or more countries outside the United States, at least one of which hosts a participating American overseas research center. Funding is provided by the State Department's Bureau of Educational and Cultural Affairs."</t>
  </si>
  <si>
    <t>Fellowships</t>
  </si>
  <si>
    <t>Sciences
History of science</t>
  </si>
  <si>
    <t>fellowship on site</t>
  </si>
  <si>
    <t>Postdoc</t>
  </si>
  <si>
    <t>$45,000/year for two years</t>
  </si>
  <si>
    <t>"The Beckman Center offers fellowships on an annual cycle for scholars doing research in the history and social studies of chemistry and related sciences, technologies, and industries. Fellows are expected to participate in biweekly informal writing groups and give at least one lunchtime lecture. They also have the opportunity to take part in a variety of outreach activities while in residence at CHF. About 20 fellowships are given out annually, making the Beckman Center the largest private fellowship program in the history of science in the United States."</t>
  </si>
  <si>
    <t>Improving Undergraduate Stem Resources:: Education and Human Resources</t>
  </si>
  <si>
    <t>Education</t>
  </si>
  <si>
    <t>“Through the NSF Improving Undergraduate STEM Education (IUSE) initiative, the agency continues to make a substantial commitment to the highest caliber undergraduate STEM education through a Foundation-wide framework of investments. The IUSE: EHR is a core NSF STEM education program that seeks to promote novel, creative, and transformative approaches to generating and using new knowledge about STEM teaching and learning to improve STEM education for undergraduate students. The program is open to application from all institutions of higher education and associated organizations.”</t>
  </si>
  <si>
    <t>Improving Undergraduate STEM Education: Pathways into Geoscience</t>
  </si>
  <si>
    <t>institutional
research</t>
  </si>
  <si>
    <t>"The Directorate for Geosciences (GEO) contributes to the IUSE initiative through the Improving Undergraduate STEM Education: Pathways into Geoscience (IUSE: GEOPATHS) funding opportunity. IUSE: GEOPATHS invites proposals that specifically address the current needs and opportunities related to undergraduate education within the geosciences community. The primary goal of the IUSE: GEOPATHS funding opportunity is to increase the number of undergraduate students interested in pursuing undergraduate degrees and/or post-graduate degrees in geoscience through the design and testing of novel approaches for engaging students in authentic, career-relevant experiences in geoscience. In order to broaden participation in the geosciences, engaging undergraduate students from traditionally underrepresented groups or from non-geoscience degree programs is a priority."</t>
  </si>
  <si>
    <t>research collaboration</t>
  </si>
  <si>
    <t xml:space="preserve">*No new DEADLINE as of 2.19.21*                                                                                       “The goal of the program is to support the “mathematical marketplace” by substantially increasing collaborative contacts between mathematicians. The foundation will make a large number of collaboration grants to accomplished, active researchers in the United States who do not otherwise have access to funding that allows support for travel and visitors…. Awards will be based on the quality and significance of the applicant’s previous research, as outlined in the Statement of Recent Work requirement below, and on the likely impact the collaboration grant will have on future research, both for the applicant and the applicant’s graduate students and/or postdoctoral fellows.”  </t>
  </si>
  <si>
    <t>Blavatnik Family Foundation</t>
  </si>
  <si>
    <t>US National Awards</t>
  </si>
  <si>
    <t>The Blavatnik National Awards honor America’s most innovative young faculty-rank scientists and engineers. These awards celebrate the past accomplishments and future potential of young faculty members working in the three disciplinary categories of Life Sciences, Physical Sciences &amp; Engineering, and Chemistry. Every year, one Blavatnik National Awards Laureate in each disciplinary category will receive $250,000 in unrestricted funds, and additional nominees will be recognized as Finalists.</t>
  </si>
  <si>
    <t>Prize for Young Investigators in Cancer Research</t>
  </si>
  <si>
    <t>$200,000/ year for up to 3 years</t>
  </si>
  <si>
    <t>"The Pershing Square Sohn Prize for Young Investigators in Cancer Research provides New York area-based early career scientists the freedom to take risks and pursue their boldest research at a stage when traditional funding is lacking."</t>
  </si>
  <si>
    <t>Amazon</t>
  </si>
  <si>
    <t>Amazon Literary Partnership Accepting Grants</t>
  </si>
  <si>
    <t>“With the goal of helping writers tell their stories and find their readers, the Amazon Literary Partnership supports innovative nonprofit organizations that empower writers to create, publish, learn, teach, experiment, and thrive. We seek to amplify diverse and overlooked voices and strive for a lasting impact on the literary community.”</t>
  </si>
  <si>
    <t>Suspended due to Covid</t>
  </si>
  <si>
    <t>A&amp;H
Film</t>
  </si>
  <si>
    <t>Established</t>
  </si>
  <si>
    <t xml:space="preserve">
"Academy Film Scholars grants are awarded to previously published individuals who are pursuing significant new works of film scholarship. These grants fund research as well as academic and scholarly projects that elevate both filmmaking and film scholarship. Projects must address cultural, educational, historical, theoretical or scientific aspects of theatrical motion pictures. Applicants must have written and published at least one book of scholarship prior to applying. "</t>
  </si>
  <si>
    <t>"The Classical Association of the Middle West and South annually awards three $2000.00 scholarships for participation in summer excavation or field school at an archaeological site in the Greco-Roman world.  These awards may support individuals engaged in any stage of the work, including physical excavation, illustration, digital recording, faunal and ceramic analysis.  One of these awards is named in honor of former CAMWS president Peter Knox of Case Western University. Generally, one award will be made to at least one graduate student and another to an undergraduate, but teachers at all levels of instruction are also eligible for this award. Professional archaeologists are not eligible for this award. "</t>
  </si>
  <si>
    <t>Robert L. Jervis and Pail Schroeder Best Book Award</t>
  </si>
  <si>
    <t>SocSci
Political Science</t>
  </si>
  <si>
    <t xml:space="preserve">26 awards “Recognizing excellence in the profession is one of the most important roles of the American Political Science Association.  Through the service of member committees who review nominations, the Association makes awards for the best dissertations, papers and articles, and books in the various subfields of the discipline, and for career achievement in research, teaching and service to the discipline.  These awards are presented at the APSA Annual Meeting.”  </t>
  </si>
  <si>
    <t>Research Grant</t>
  </si>
  <si>
    <t>Language and Area Studies
Africa</t>
  </si>
  <si>
    <t>The American Institute for Maghrib Studies (AIMS) announces its annual Grants Program for academic year 2021-2022 beginning in July 2021. The Grant Program offers grants to U.S. scholars to conduct research on North African topics in Algeria, Mauritania, Morocco, or Tunisia. AIMS Overseas Research Centers in Oran, Tunis, and Tangier facilitate AIMS grants and support AIMS scholars. AIMS funds only primary research conducted in the Maghrib.</t>
  </si>
  <si>
    <t>Barbara Deming Memorial Fund</t>
  </si>
  <si>
    <t>project, including pubilcation</t>
  </si>
  <si>
    <t>$500-$1,500</t>
  </si>
  <si>
    <t>"Small artist support grants ($500 - $1500 ) to individual feminist women in the arts." ... "We are interested in [f]unding projects which you have begun or which are well underway, and for which you have substantial work to show. We request that the majority of your submitted materials be related to and part of this project."</t>
  </si>
  <si>
    <t>Urban Communication Foundation</t>
  </si>
  <si>
    <t>James W. Carey Urban Communication Grant</t>
  </si>
  <si>
    <t>&lt;$2,500</t>
  </si>
  <si>
    <t>"The James Carey Urban Communication Grant supports research that advances knowledge on the consequences of urban communication in and across urban societies.  We welcome applications for research that will engage different urban actors and which will support civic engagement and equitable access to communication opportunities in the city. The $2,500 grant is designed to facilitate research in progress or in the planning stages. It gives priority to projects that feature innovation and creative approaches to studying the transformation of urban communities and urban public life, especially at times of local and global change. Proposals from the Global South are particularly welcome and proposals that address issues of racial and/or racial justice are encouraged."</t>
  </si>
  <si>
    <t>none</t>
  </si>
  <si>
    <t>"Welcoming researchers in any area of legal scholarship who can profit from the strengths of its holdings in United Kingdom and foreign law: its particular research interests lie in legal education and the profession; company and partnership law; financial services regulation; economic crime; comparative law; law reform; and the law of children."</t>
  </si>
  <si>
    <t>*Next cycle will open December 2021*                                                                                   "In the interest of promoting scholarly research on all aspects of Middle Eastern and Islamic studies, the Center for Middle Eastern Studies appoints a small number of Visiting Researchers each academic year. Their work covers a wide range of fields, including anthropology, religion, history, political science, economics, and literature. The Visiting Researchers contribute to a lively community at CMES that encourages interdisciplinary contact."</t>
  </si>
  <si>
    <t>FirstRisk Advisors Initiatives in College Mental/Behavioral Health Funding Opportunity</t>
  </si>
  <si>
    <t>Sciences
Health and Medicine
Psychology</t>
  </si>
  <si>
    <t>"With growing national concerns regarding the prevalence and complexity of mental and behavioral health issues among college students and the negative impact these disorders have on the health and safety of higher education communities, student retention, student learning/academic progress, and the human potential of students, funding sponsor FirstRisk Advisors, through the American College Health Foundation, is offering one annual $3,500 funding opportunity.
The FirstRisk Advisors Initiatives in College Mental/Behavioral Health Funding Opportunity is designed to fund the development of creative initiatives that address prevention, early intervention, and treatment for mental and behavioral health disorders among students. The goal of these initiatives is to reduce the risk of mental and behavioral illness and injury among college students and to enhance both individual and community health as a strategy to support student learning."</t>
  </si>
  <si>
    <t>4+ years postdoc</t>
  </si>
  <si>
    <t>"UConn’s Humanities Fellowships are opportunities for individuals to pursue advanced work in the humanities. Projects may contribute to scholarly knowledge or to the general public’s understanding of the humanities. Recipients are expected to produce scholarly articles, a monograph on a specialized subject, a book on a broad topic, an archaeological site report, a translation, an edition, or other scholarly tools."
Storrs, CT</t>
  </si>
  <si>
    <t xml:space="preserve">National Endowment for the Humanities and American Center for Oriental Research </t>
  </si>
  <si>
    <t>“The American Center of Oriental Research (ACOR) offers maximum single award of ten months for a scholar who has a Ph.D. or has completed his or her professional training. Fields of research include, but not limited to: modern and classical languages, linguistics, literature, history, jurisprudence, philosophy, archaeology, heritage studies, comparative religion, ethics, and the history, criticism, and theory of the arts. Social and political scientists are encouraged to apply.”</t>
  </si>
  <si>
    <t>Admissions</t>
  </si>
  <si>
    <t>$1,500 plus housing and transportation</t>
  </si>
  <si>
    <t>"Senior scholars are invited to apply for the Margo Tytus Visiting Scholars Program. Applicants for this program will ordinarily be a minimum of five years beyond receipt of the Ph.D., with notable publication histories. Tytus Scholars are expected to be in residence at the University of Cincinnati for a minimum of one semester (ca. four months) and a maximum of two during the regular academic year"</t>
  </si>
  <si>
    <t>Visiting Scholar</t>
  </si>
  <si>
    <t>Language and Area Studies
Latin America</t>
  </si>
  <si>
    <t>$25,000 for one or two semesters plus up to $3,000 in travel expenses</t>
  </si>
  <si>
    <t xml:space="preserve"> Each year the David Rockefeller Center for Latin American Studies (DRCLAS) selects a number of distinguished academics (Visiting Scholars) and professionals (Fellows) who wish spend one or two semesters at Harvard working on their own research and writing projects. Visiting Scholars and Fellows are selected competitively on the basis of the applicant's qualifications, the quality of the applicant's research plans, and the relevance of both to the Center's mission and objectives..</t>
  </si>
  <si>
    <t>"The Earth consists of a variety of complex systems that are variable over space and time, and respond to a wide range of perturbations.  The goal of the Integrated Earth Systems (IES) program is to investigate the interplay among the continental, terrestrial, and interior systems of the planet.  The program provides an opportunity for collaborative, multidisciplinary research into the operation, dynamics, and complexity of Earth systems that encompass the core of the Earth through the surface. Innovative projects that explore new research directions beyond those typically considered by core programs of the Division of Earth Sciences (EAR) are encouraged.  Investigations may include all or part of the continental, terrestrial and deep Earth at all temporal and spatial scales.  IES will support topics that include (but are not limited to) continental systems; terrestrial or surficial Earth systems including physical, chemical, and biotic dimensions; linkages among tectonics, climate, and landscape evolution; the coupling of the Earth's climate, depositional and biotic systems; and global cycles that involve core and mantle processes."</t>
  </si>
  <si>
    <t>New York Stem Cell Foundation</t>
  </si>
  <si>
    <t>Neuroscience Investigator Awards</t>
  </si>
  <si>
    <t>STEM Neuroscience</t>
  </si>
  <si>
    <t>“NYSCF is soliciting applications from early career investigators for Innovator awards in neuroscience. The goal of this initiative is to foster truly bold, innovative scientists with the potential to transform the field of neuroscience. Applicants are encouraged in all areas of neuroscience, and NYSCF is committed to supporting the field as broadly as possible through these awards. Applicants need not be working in areas related to stem cells or related areas.”</t>
  </si>
  <si>
    <t>Early career</t>
  </si>
  <si>
    <t>"The Camille Dreyfus Teacher-Scholar Awards Program supports the research and teaching careers of talented young faculty in the chemical sciences. Based on institutional nominations, the program provides discretionary funding to faculty at an early stage in their careers. Criteria for selection include an independent body of scholarship attained in the early years of their appointment (see below), and a demonstrated commitment to education, signaling the promise of continuing outstanding contributions to both research and teaching."</t>
  </si>
  <si>
    <t>Warburg Institute Funded Fellowships</t>
  </si>
  <si>
    <t>~$50,000</t>
  </si>
  <si>
    <t>"The Warburg Institute exists principally to further the interdisciplinary study of the classical tradition, that is of those elements of European thought, literature, art and institutions which derive from the ancient world. The classical tradition is conceived as the theme which unifies the history of Western civilisation. The emphasis is less on ‘classical’ values in art and literature (in fact, all the strands that link medieval and modern civilisation with its origins in the ancient cultures of the Near East and the Mediterranean are represented in the Library), than on the element of continuity: the tenacity of symbols and images in European art and architecture, the persistence of motifs and forms in Western languages and literatures, the gradual transition, in Western thought, from magical beliefs to religion, science and philosophy, and the survival and transformation of ancient patterns in social customs and political institutions."</t>
  </si>
  <si>
    <t>NYSCA/NYFA Artists’ Fellowships</t>
  </si>
  <si>
    <t>"NYSCA/NYFA Artist Fellowships, awarded in fifteen different disciplines over a three-year period, are $7,000 cash awards made to individual originating artists living and working in the state of New York for unrestricted use. These fellowships are not project grants but are intended to fund an artist’s vision or voice, regardless of the level of his or her artistic development." 2018 disciplines are Fiction, Folk/Traditional Arts, Interdisciplinary Work, Painting, Video/Film</t>
  </si>
  <si>
    <t>Summer Seminars and Institutes</t>
  </si>
  <si>
    <t>programming
summer</t>
  </si>
  <si>
    <t xml:space="preserve">A draft proposal may be due earlier.  Guidelines should be released two months before the deadline.  "NEH Summer Seminars and Institutes grants support professional development programs in the humanities for school teachers and for college and university faculty. Seminars and institutes may be as short as one week or as long as four weeks.
NEH Summer Seminars and Institutes
provide models of excellent teaching;
provide models of excellent scholarship;
broaden and deepen understanding of the humanities;
focus on the study and teaching of significant topics, texts, and other sources;
contribute to the intellectual vitality of participants; and
build communities of inquiry.
An NEH Summer Seminar or Institute may be hosted by a college, university, learned society, center for advanced study, library or other repository, cultural or professional organization, or school or school system. The host site must be suitable for the project, providing facilities for collegial interaction and scholarship. These programs are designed for a national audience of participants."  </t>
  </si>
  <si>
    <t>International Development Grant</t>
  </si>
  <si>
    <t>"Two to four $1,000 International Development Grants will be distributed annually to persons or organizations interested in developing behavior analysis internationally. In order to promote behavior analysis on a worldwide scale, we hope to increase opportunities for people and organizations that do not have the necessary resources to expand important information and knowledge."</t>
  </si>
  <si>
    <t>&lt;$6,000</t>
  </si>
  <si>
    <t>"The Tensor Foundation has provided funding to support projects designed to encourage women from middle school, high school, college, or university levels to study and persist in mathematics. On behalf of the Tensor Foundation, the MAA encourages college, university, and secondary mathematics faculty (in conjunction with college or university faculty) and their institutions to submit proposals to the Tensor Women and Mathematics Program. Projects may replicate existing successful projects, adapt components of such projects, or be innovative. "</t>
  </si>
  <si>
    <t xml:space="preserve">Innovation in Regulatory Science </t>
  </si>
  <si>
    <t>&lt;$500,000</t>
  </si>
  <si>
    <t>"BWF’s Innovation in Regulatory Science Awards provide up to $500,000 over five years to academic investigators developing new methodologies or innovative approaches in regulatory science that will ultimately inform the regulatory decisions the Food and Drug Administration (FDA) and others make."</t>
  </si>
  <si>
    <t>Mpala Postdoctoral and Senior Fellowship</t>
  </si>
  <si>
    <t>$54,400/year + $4,000 research costs</t>
  </si>
  <si>
    <t>*No new DEADLINE as of 7.1.21*                                                                                         "The purpose of the Mpala Postdoctoral Fellowship is to promote the study of biology, anthropology, geology, hydrology, material science, social science, soil science or related areas. Projects must be tenable in residence at Smithsonian Institution facilities and Mpala Research Centre.... Fellowships are offered by the Smithsonian Institution to provide opportunities for graduate students, predoctoral students, and postdoctoral and senior investigators to conduct research in association with members of the Smithsonian professional research staff, and to utilize the resources of the Institution."</t>
  </si>
  <si>
    <t>"The PEN America Writing for Justice Fellowship aims to harness the power of writers and writing in bearing witness to the societal consequences of mass incarceration by capturing and sharing the stories of incarcerated individuals, their families, communities, and the wider impact of the criminal justice system.... 
The Writing for Justice Fellowship is open-genre, and proposed projects may include—but are not limited to—fictional stories; works of literary or long-form journalism; theatrical, television or film scripts; memoirs; poetry collections; or multimedia projects. The most competitive applications will demonstrate how the proposed project will engage issues of reform, fuel public debate, crystallize concepts of reform, and facilitate the possibility of societal change."</t>
  </si>
  <si>
    <t>Project</t>
  </si>
  <si>
    <t>"The stakes of successful publishing by early career professors are more urgent than ever given the current state of higher education promotion and publishing. Responding to a glaring need in the field, the First Book Institute features workshops and presentations led by institute faculty aimed at assisting participants in transforming their book projects into ones that promise to make the most significant impact possible on the field and thus land them a publishing contract with a top university press.  Eight successful applicants will be awarded $1500 stipends to defray the costs of travel and lodging. 
Applications to the First Book Institute are invited from scholars working in any area or time period of American literary studies who hold a PhD and are in the process of writing their first book."</t>
  </si>
  <si>
    <t>Jacobs Research Fund</t>
  </si>
  <si>
    <t>Research Funds</t>
  </si>
  <si>
    <t>Language and Area Studies,
Anthropology</t>
  </si>
  <si>
    <t>$3,000-$9,000</t>
  </si>
  <si>
    <t xml:space="preserve">“The Jacobs Research Funds (JRF) and the Kinkade Language and Culture Fund (KLF) are sister organizations that fund linguistic and anthropological research on aboriginal peoples of North and South America. The JRF accepts proposals on behalf of both organizations. 
Priority is given to research on the Pacific Northwest. However, research in other areas of the Americas will be funded if possible. 
The JRF is affiliated with the Whatcom Museum in Bellingham, Washington.”   </t>
  </si>
  <si>
    <t>$1,500,000/5 years</t>
  </si>
  <si>
    <t>*No new DEADLINE as of 3.3.21*                                                                                    "NYSCF is soliciting applications from early career investigators for Innovator Awards to be used for exploring the basic biology and translational potential of stem cells. The goal of this initiative is to foster bold and innovative scientists with the potential to transform the field of stem cell research, and advance understanding and use of stem cells in the development of treatments for human disease. In addition to providing funding, NYSCF partners with investigators to advance and translate their research."</t>
  </si>
  <si>
    <t>Soros Justice Fellowship</t>
  </si>
  <si>
    <t>Social Sciences</t>
  </si>
  <si>
    <t>$52,500-120,000</t>
  </si>
  <si>
    <t>*No new DEADLINE as of 5.12.20*                                                                                "The Soros Justice Fellowships fund outstanding individuals to undertake projects that advance reform, spur debate, and catalyze change on a range of issues facing the U.S. criminal justice system.... The Soros Justice Advocacy Fellowships fund lawyers, advocates, grassroots organizers, researchers, and others with unique perspectives to undertake full-time criminal justice reform projects at the local, state, and national levels.... The Soros Justice Media Fellowships support writers, print and broadcast journalists, artists, filmmakers, and other individuals with distinctive voices proposing to complete media projects that engage and inform, spur debate and conversation, and catalyze change on important U.S. criminal justice issues.... The Soros Justice Youth Activist Fellowships, in partnership with the Open Society Youth Exchange, support outstanding individuals aged 18 to 25 to take on projects of their own design that address some aspect of the U.S. criminal justice system."</t>
  </si>
  <si>
    <t>"There is concern in many quarters that women are not succeeding in the mathematics community at the expected rate. Those concerned include research mathematicians, women who studied in the l960's and 1970's and expected larger numbers of women to follow, and those who view the scene from institutional perspectives. This program is an effort to address this gender imbalance.  In accordance with the principle that mathematics should be inclusive, not exclusive, the activities of the program are open to all, regardless of age and gender.  Funding is provided.
Many female students and young researchers have encountered discrimination in certain situations and have concerns about entering a field with few senior women visible. The atmosphere in classes and seminars can be unappealing, and nearly all young women have practical questions about managing a career and personal interests. Often women have not had the opportunity to work with other serious women in their profession or listen to more than an occasional lecture or course given by a woman. The network formed through contacts with women functions like any other network in giving opportunities, support, and inside information to its members."</t>
  </si>
  <si>
    <t>Centers for Chemical Innovation (CCI)</t>
  </si>
  <si>
    <t>Sciences
Chemistry</t>
  </si>
  <si>
    <t>research center</t>
  </si>
  <si>
    <t>Phase I deadline is August 11, 2020
"The Centers for Chemical Innovation (CCI) Program supports research centers focused on major, long-term fundamental chemical research challenges. CCIs that address these challenges will produce transformative research, lead to innovation, and attract broad scientific and public interest. CCIs are agile structures that can respond rapidly to emerging opportunities through enhanced collaborations. CCIs integrate research, innovation, education, broadening participation, and informal science communication....
Phase I CCIs receive significant resources to develop the science, management and broader impacts of a major research center before requesting Phase II funding. Satisfactory progress in Phase I is required for Phase II applications."</t>
  </si>
  <si>
    <t>Visiting Fellowships for Post-Doctoral and Advanced Scholars</t>
  </si>
  <si>
    <t>General
Race studies
Gender studies</t>
  </si>
  <si>
    <t>"We welcome applications from scholars in the humanities. We are interested in research projects across the spectrum of the humanities that examine the origins, evolution, impact and legacy of race, difference, and the modern quest for civil and human rights. We also support research projects that examine race and ethnicity and its points of intersection with other identities and movements addressing differences along gender, class, religious, or sexual lines."</t>
  </si>
  <si>
    <t>National Historical Publications &amp; Records Commission</t>
  </si>
  <si>
    <t>Access to Historical Records: Major Initiatives</t>
  </si>
  <si>
    <t>$100,000-350,000</t>
  </si>
  <si>
    <t>“The National Historical Publications and Records Commission seeks projects that will significantly improve public discovery and use of major historical records collections. The Commission is especially interested in collections of America’s early legal records, such as the records of colonial, territorial, county, and early statehood and tribal proceedings that document the evolution of the nation’s legal history. 
 All types of historical records are eligible, including documents, photographs, born-digital records, and analog audio and moving images. Projects may:
 Digitize historical records collections, or related collections, held by a single institution and make them freely available online
 Create new freely-available virtual collections drawn from historical records held by multiple institutions
 Provide access to born-digital records
 Create new tools and methods for users to access records
 The NHPRC welcomes collaborative projects, particularly for bringing together related records from multiple institutions. Projects that address significant needs in the field and result in replicable and scalable approaches will be more competitive. We also encourage organizations to actively engage the public in the work of the project.</t>
  </si>
  <si>
    <t>American Psychological Foundation</t>
  </si>
  <si>
    <t>APF Trauma Grant</t>
  </si>
  <si>
    <t xml:space="preserve">One grant of up to $3,500 to support innovative work to alleviate trauma. </t>
  </si>
  <si>
    <t>APF Dr. Christine Blasey-Ford Grant</t>
  </si>
  <si>
    <t xml:space="preserve">“The Dr. Christine Blasey-Ford Grant will provide up to $1,500 to support innovative work to support graduate students and early career researchers conducting work focusing on the understanding, prevention and/or treatment of the consequences of exposure to traumatic events such as sexual assault, sexual harassment and/or rape.” </t>
  </si>
  <si>
    <t>Individual Support Grants</t>
  </si>
  <si>
    <t>"The Foundation wishes to encourage artists who have dedicated their lives to developing their art, regardless of their level of commercial success.
Please note that these grants are available only to mature individual visual artists. The Foundation defines maturity in this case as having worked for 20 years or more in a mature phase of art."</t>
  </si>
  <si>
    <t>Outstanding Scientific Achievements by a Young Investigator</t>
  </si>
  <si>
    <t>early career (&lt;40 yo)</t>
  </si>
  <si>
    <t>“This award recognizes and encourages the professional development of a young investigator who has demonstrated exceptional scientific achievements early in his or her career. It is given based on the degree of originality exhibited in the individual's creative process and the significance of the research conducted relevant to the field of clinical laboratory medicine. It is conferred upon an individual who has the potential to be an outstanding investigator of the future. (The individual must not have reached the age of 40 by January 1 in the year in which the award is to be given and must be an AACC member.)”</t>
  </si>
  <si>
    <t>Library Science</t>
  </si>
  <si>
    <t>"Established in 1957, the distinction of Fellow is the highest honor bestowed on individuals by SAA and is awarded for outstanding contributions to the archival profession."</t>
  </si>
  <si>
    <t>*No new DEADLINE as of 6.29.21*                                                                                          "The Library Company of Philadelphia and The Historical Society of Pennsylvania will jointly award approximately twenty-five one-month fellowships for research in residence in either or both collections during the academic year 2020-2021. These two independent research libraries, adjacent to each other in Center City Philadelphia, have complementary collections capable of supporting research in a variety of fields and disciplines relating to the history of America and the Atlantic world from the 17th through the 19th centuries, as well as Mid-Atlantic regional history to the present."</t>
  </si>
  <si>
    <t>Language and Area Studies
Russia, Ukraine, and area</t>
  </si>
  <si>
    <t>$4,000/month for three months</t>
  </si>
  <si>
    <t>"The Kennan Institute seeks fellowship applicants from diverse, policy-oriented sectors such as media, business, local government, law, civil society, and academia to examine important political, social, economic, cultural, and historical issues in Russia, Ukraine, and the region. Among the aims of the new fellowships are to build bridges between traditional academia and the policy world, as well as to maintain and increase collaboration among researchers from Russia, Ukraine, the U.S., and around the globe."
Open to non-citizens.</t>
  </si>
  <si>
    <t>Wilson Center</t>
  </si>
  <si>
    <t>Social Science
Language and Area Studies
Eastern Europe &amp; former Soviet Union</t>
  </si>
  <si>
    <t>$3,500 for 1 month</t>
  </si>
  <si>
    <t>"The Kennan Institute seeks fellowship applicants from diverse, policy-oriented sectors such as media, business, local government, law, civil society, and academia to examine important political, social, economic, cultural, and historical issues in Russia, Ukraine, and the region. Among the aims of the new fellowships are to build bridges between traditional academia and the policy world, as well as to maintain and increase collaboration among researchers from Russia, Ukraine, the U.S., and around the globe."</t>
  </si>
  <si>
    <t>Language and Area Studies
Asia</t>
  </si>
  <si>
    <t>up to $5000</t>
  </si>
  <si>
    <t>"The foundation offers small grants of up to $5000 to support projects in modern Chinese economic, social and political history or archaeology.
In most cases, grants will be used to support travel to China for a month or two of research or field work.  They may also be used to supplement other funding for research in China or Taiwan, when the alternative funding restricts research in one of those areas. Grants may also be used to develop the research skills of grantees, including the skill and capacity to conduct independent research in archives, libraries, and research sites in Asia and in Chinese language sources. Grants are available for graduate students and untenured faculty for projects on modern Chinese history and for undergraduate and graduate students as well as untenured faculty in archaeology"
"Applicant must be a graduate student or untenured faculty member conducting research on modern Chinese history at a university or college; or an advanced undergraduate, graduate student, or untenured faculty at a university or college program studying Chinese archaeology."</t>
  </si>
  <si>
    <t xml:space="preserve">Residency Program </t>
  </si>
  <si>
    <t>"The Ucross Foundation Residency Program offers the gift of time and space to competitively selected individuals working in all artistic disciplines.  The Foundation strives to provide a respectful, comfortable and productive environment, freeing artists from the pressures and distractions of daily life." Sheridan, Wyoming</t>
  </si>
  <si>
    <t>$3,500/month for 2-9 months</t>
  </si>
  <si>
    <t>Summer grants = $7,000 for two months
"The Kennan Institute seeks fellowship applicants from diverse, policy-oriented sectors such as media, business, local government, law, civil society, and academia to examine important political, social, economic, cultural, and historical issues in Russia, Ukraine, and the region. Among the aims of the new fellowships are to build bridges between traditional academia and the policy world, as well as to maintain and increase collaboration among researchers from Russia, Ukraine, the U.S., and around the globe."</t>
  </si>
  <si>
    <t xml:space="preserve">Clare Boothe Luce Program </t>
  </si>
  <si>
    <t>institutional support</t>
  </si>
  <si>
    <t>*No new DEADLINE as of 3.5.21*                                                                                      Grants are made to four-year degree-granting institutions; preference is given for support of women in the physical science and engineering fields in which women are the most underrepresented, e.g., physics, computer science, mathematics, electrical engineering, mechanical engineering, etc.</t>
  </si>
  <si>
    <t>Henry Luce Foundation/ACLS Program Studies in China</t>
  </si>
  <si>
    <t>The Henry Luce Foundation/ACLS Program in China Studies in its eighth year seeks to maintain the vitality of China Studies in North America through fellowships and grants designed primarily for scholars early in their careers. Studies on and in China have developed over the last 30 years in the United States and Canada into a robust field, but current conditions pose daunting problems, especially for scholars just before and just after the dissertation. To address this situation, the program offers three competitions: Predissertation Travel Grants to China, Early Career Fellowships, and Collaborative Reading-Workshop Grants</t>
  </si>
  <si>
    <t>€2,000/month</t>
  </si>
  <si>
    <t>"IIAS is an institute that actively promotes innovative research and seeks the interconnection between academic disciplines. In doing so, we are particularly looking for researchers focusing on the three IIAS clusters 'Asian Cities', 'Asian Heritages' and 'Global Asia'. However some positions will be reserved for outstanding projects in any area outside of those listed. Applications that link to more than one field are also welcome."</t>
  </si>
  <si>
    <t xml:space="preserve">Sciences
Psychology </t>
  </si>
  <si>
    <t>Research
Project</t>
  </si>
  <si>
    <t>$1,000-$50,000</t>
  </si>
  <si>
    <t>"The Esther Katz Rosen Fund was established in 1974 by a generous bequest intended to support '…activities related to the advancement and application of knowledge about gifted children.'
Rosen Fund grants:
Enable and enhance development of identified gifted and talented children and adolescents.Encourage promising psychologists to continue innovative research and programs in this area.
Support will be provided for activities on the advancement and application of knowledge related to identified gifted and talented children and adolescents, such as:
Research.Pilot projects.Research-based programs."</t>
  </si>
  <si>
    <t>Texas Collection Wardlaw Fellowship</t>
  </si>
  <si>
    <t>$1,000-1,500</t>
  </si>
  <si>
    <t>Annual deadline first monday of March                                                         "Fellowships are awarded to scholars pursuing significant research and advanced studies in the area of Texas history, culture, and literature. The research must be completed at The Texas Collection" in Waco, TX. The Hillman Research Fellowship also stipulates research of “Baptist missions and educational institutions in Latin America utilizing collections deposited in The Texas Collection.”</t>
  </si>
  <si>
    <t xml:space="preserve">Institutes for Advanced Topics in the Digital Humanities </t>
  </si>
  <si>
    <t>"The Institutes for Advanced Topics in the Digital Humanities program supports national or regional (multistate) training programs for scholars, humanities professionals, and advanced graduate students to broaden and extend their knowledge of digital humanities. Through this program NEH seeks to increase the number of humanities scholars and practitioners using digital technology in their research and to broadly disseminate knowledge about advanced technology tools and methodologies relevant to the humanities.
The projects may be a single opportunity or offered multiple times to different audiences. Institutes may be as short as a few days and held at multiple locations or as long as six weeks at a single site. For example, training opportunities could be offered before or after regularly occurring scholarly meetings, during the summer months, or during appropriate times of the academic year. The duration of a program should allow for full and thorough treatment of the topic.
These professional development programs may focus on a particular computational method, such as network or spatial analysis. They may also target the needs of a particular humanities discipline or audience."</t>
  </si>
  <si>
    <t>Institute of Historical Research Fellowships</t>
  </si>
  <si>
    <t>varies</t>
  </si>
  <si>
    <t>"The IHR is a working and meeting place for historians from all over the world and houses two major research centres – the Victoria County History and the Centre for Metropolitan History. "</t>
  </si>
  <si>
    <t>Creative Writing Fellowships</t>
  </si>
  <si>
    <t>Creative Arts
Writing</t>
  </si>
  <si>
    <t>"The National Endowment for the Arts Literature Fellowships program offers $25,000 grants in prose (fiction and creative nonfiction) and poetry to published creative writers that enable the recipients to set aside time for writing, research, travel, and general career advancement.
The National Endowment for the Arts Literature Fellowships program operates on a two-year cycle with fellowships in prose and poetry available in alternating years."</t>
  </si>
  <si>
    <t>$50,000~</t>
  </si>
  <si>
    <t>"As one of the world’s largest funding sources for animal health research, we are proud of our long tradition of supporting some of the most innovative researchers advancing the health of more species in more places than any other organization. To date, we have invested over $118 million. Our research program accepts proposals in three overarching areas:
Small companion animal (cats, dogs) – in March
Large companion animal (equine species, camelids) -  in July
Wildlife (including reptiles, amphibians, exotic pets) - in November"
 There is no limit to budget.  The average grants is $50,000.</t>
  </si>
  <si>
    <t>$500-2,500</t>
  </si>
  <si>
    <t>"Open to both collegiate and pre-collegiate teachers of classics. SCS membership is not required. Possible projects include, but are not limited to, the following: attendance at a professional conference, purchase of teaching materials, study abroad. Projects that received funding in the last three years are briefly described"</t>
  </si>
  <si>
    <t>A&amp;H
SocSci</t>
  </si>
  <si>
    <t>"NIAS offers individual fellowships to scholars who wish to carry out advanced research in the humanities and the social sciences. For five or ten months, scholars are offered the time and space to work on a topic of their own choice. Scholars must have at least 3 years of post-Ph.D. degree academic experience and have already made a considerable contribution to their field. The fellowships provide a stipend and housing accommodations."</t>
  </si>
  <si>
    <t>"The San Francisco-based Ploughshares Fund supports organizations and individuals working to build a safe, secure, nuclear weapons-free world. To that end, grants will be awarded to projects that promote the reduction and eventual elimination of nuclear weapons, prevent the emergence of new nuclear states, and/or build regional peace and security.
1) Promote the Reduction and Eventual Elimination of Nuclear Weapons: The fund works to build a common understanding among world leaders that nuclear weapons are unacceptable. It helps leaders take concrete steps to reduce current arsenals and limit future ones, all to achieve a planet where nuclear weapons can never be used again.
2) Prevent the Emergence of New Nuclear States. Iran and North Korea have been the biggest threats to containing nuclear weapons. The lasting solution will not be a military one. Diplomacy and engagement — always grounded in data and strategic analysis — can solve these problems. It takes hard work and intelligence, both of which require funding. 
3) Build Regional Peace and Security. Longstanding and unresolved tensions between nuclear-armed India and Pakistan make South Asia one of the most dangerous places on earth. The fund's partners work to transform the region with fact-finding missions, on-the-ground analysis, high-level dialogue, confidence-building measures, and more.
The fund does not provide scholarships or support for the production of films, videos, books, art projects, or the research and writing of academic dissertations."</t>
  </si>
  <si>
    <t>John and Polly Sparks Early Career Grant</t>
  </si>
  <si>
    <t>up to $20,000</t>
  </si>
  <si>
    <t>Similar deadline annually, but confirm date on website</t>
  </si>
  <si>
    <t>Brain Cancer Research Distinguished Scientist Awards</t>
  </si>
  <si>
    <t>Visiting Senior Fellowships</t>
  </si>
  <si>
    <t>5+ years postdoc</t>
  </si>
  <si>
    <t>$6,000-8,000 plus housing</t>
  </si>
  <si>
    <t>"Fellowships are for full-time research, and scholars are expected to reside in Washington and to participate in the activities of the Center throughout the fellowship period. Lectures, colloquia, and informal discussions complement the fellowship program....
Paul Mellon and Ailsa Mellon Bruce Visiting Senior Fellowships are intended to support research in the history, theory, and criticism of the visual arts (painting, sculpture, architecture, landscape architecture, urbanism, prints and drawings, film, photography, decorative arts, industrial design, and other arts) of any geographical area and of any period. Visiting senior fellowship applications are also solicited from scholars in other disciplines whose work examines artifacts or has implications for the analysis and criticism of visual form."</t>
  </si>
  <si>
    <t>Frontier Research in Earth Sciences</t>
  </si>
  <si>
    <t>Science</t>
  </si>
  <si>
    <t xml:space="preserve">“The FRES program will support research in Earth systems from the core through the critical zone. The project may focus on all or part of the surface, continental lithospheric, and deeper Earth systems over the entire range of temporal and spatial scales. FRES projects should have a larger scientific scope and budget than those considered for funding by disciplinary programs in the Division of Earth Sciences (EAR).” </t>
  </si>
  <si>
    <t>Future of Work at the Human-Technology Frontier: Advancing Cognitive and Physical Capabilities  (FW-HTF)</t>
  </si>
  <si>
    <t>Research</t>
  </si>
  <si>
    <t>$750,000-$1,500,000 or $1,500,001-$3,000,000 / 3-5 years</t>
  </si>
  <si>
    <t>Letter of Intent due 4/16
"The Future of Work at the Human-Technology Frontier (FW-HTF) is one of 10 new and far-sighted Big Ideas for Future Investments announced by NSF in 2016. NSF aims to respond to the challenges and opportunities of the changing landscape of jobs and work by supporting convergent research to: understand and develop the human-technology partnership; design new technologies to augment human performance; illuminate the emerging socio-technological landscape and understand the risks and benefits of new technologies; and foster lifelong and pervasive learning with technology. In order to be nimble and responsive to new opportunities and challenges as they are recognized, focus areas for the FW-HTF solicitation, the centerpiece of the FW-HTF Big Idea, may change from year to year."</t>
  </si>
  <si>
    <t>$35,000-$70,000</t>
  </si>
  <si>
    <t>The NARSAD Young Investigator Grant provides support for the most promising young scientists conducting neurobiological research. Two-year awards up to $70,000, or $35,000 per year are provided to enable promising investigators to either extend research fellowship training or begin careers as independent research faculty. Basic and/or clinical investigators are supported, but research must be relevant to serious brain and behavior disorders such as schizophrenia, mood disorders, anxiety disorders or child and adolescent mental illnesses.</t>
  </si>
  <si>
    <t>£2,000</t>
  </si>
  <si>
    <t xml:space="preserve"> "The Society will to consider providing up to £2,000 per year to support a visit by a foreign scholar actively working on French history to UK or Irish HE institutions. The objective is to foster international contact between scholars of the subject and the UK’s role within it. 
The scheme is open to bona fide scholars actively working at, or with a clearly defined relationship to, a recognised institute of higher education outside the UK.
The proposed host institution in the UK or the Irish Republic must demonstrate that it is committed to underwriting the essential costs of the visit in terms of the provision of office accommodation, academic support and, where appropriate, contributions to the costs of lodging and transport. 
Applicants themselves must show that they have a clear programme of research which will involve collaboration with scholars in the UK."</t>
  </si>
  <si>
    <t>National Leadership Grants for Libraries</t>
  </si>
  <si>
    <t>National Leadership Grants for Libraries (NLG-L) support projects that address significant challenges and opportunities facing the library and archives fields and that have the potential to advance theory and practice. Successful proposals will generate results such as new tools, research findings, models, services, practices, or alliances that will be widely used, adapted, scaled, or replicated to extend the benefits of federal investment.</t>
  </si>
  <si>
    <t>Summer Fellowship</t>
  </si>
  <si>
    <t>$600-$1,800</t>
  </si>
  <si>
    <t>"This summer fellowship has been offered since 2016. Gifts from the Friends of Ludwig Koenen, a former President of the SCS, as well as matching funds from the National Endowment for the Humanities have been added to the Society’s Endowment for Classics Research and Teaching.  The Finance Committee determines the amount of income derived from these contributions that will be available each year to support training in papyrology, and applications will be reviewed by a committee consisting of three members, one appointed by the Vice President for Education, one appointed by the Vice President for Publications and Research, and one appointed by the American Society of Papyrologists. The competition is open to graduate students, postdoctoral fellows, and untenured faculty. Applicants must be SCS members,"</t>
  </si>
  <si>
    <t>Community of Writers at Squaw Valley Workshop Scholarships</t>
  </si>
  <si>
    <t>"The Community of Writers at Squaw Valley in Olympic Valley, CA has generously offered to provide tuition and room-and-board scholarships, valued at $1,785 each, to three Cave Canem fellows who wish to attend the Poetry Workshop June 20-27, 2020, and are in need of financial aid."</t>
  </si>
  <si>
    <t>National Endowment for the Arts</t>
  </si>
  <si>
    <t>Research Grants in the Arts</t>
  </si>
  <si>
    <t>$10,000-$100,000</t>
  </si>
  <si>
    <t>"Research Grants in the Arts support research studies that investigate the value and/or impact of the arts, either as individual components of the U.S. arts ecology or as they interact with each other and/or with other domains of American life.
Research Grants in the Arts provides an opportunity to engage with the National Endowment for the Arts’ five-year agenda for 2017-2021. The research agenda offers guidance on the types of study questions and topics that appeal to the agency’s long-term research goals.
We are interested in research that identifies and examines:
- Factors that enhance or inhibit arts participation or arts/cultural assets;
- Detailed characteristics of arts participation or arts/cultural assets, and their interrelationships;
Individual-level outcomes of arts participation, specifically outcomes corresponding with the following domains:
- social and emotional well-being
- creativity, cognition, and learning
- physiological processes of health and healing; and
Societal or community-level outcomes of arts/cultural assets, specifically outcomes corresponding with the following domains:
- civic and corporate innovation
-attraction for neighborhoods and businesses
- national and/or state-level economic growth"</t>
  </si>
  <si>
    <t>New York State Archives</t>
  </si>
  <si>
    <t>Documentary Heritage  Program Grants</t>
  </si>
  <si>
    <t xml:space="preserve">In order to be eligible to apply, all grant applicants (including DHP grant applicants) are required to prequalify using the New York State Grants Gateway. The prequalification registration process requests information about an organization’s capacity, legal compliance, and integrity. 
The DHP provides grants to not-for-profit organizations in New York State that collect, hold, and make available historical records. Funding is available for the documentation of under-represented groups or subjects and the arrangement and description of historical records. Here is a comprehensive description of their funding priorities.
“DHP supports two types of projects: Documentation, and Arrangement &amp; Description. Most applicants apply for one type, but those who intend to request funding for a project that combines these two project types must contact DHP staff while planning the application.”
</t>
  </si>
  <si>
    <t>Environmental Science</t>
  </si>
  <si>
    <t>initiatives</t>
  </si>
  <si>
    <t>$5,000-$25,000</t>
  </si>
  <si>
    <t xml:space="preserve">Other deadline is 9/30 annually                                                                                          The mission of the Horne Family Foundation is “First, to preserve and maintain the legacy of the Horne Family in Massachusetts’ Greater Merrimack Valley and southern New Hampshire regions by supporting various community efforts that specifically relate to Human Services, Environment and Wildlife.
Secondly, the Foundation seeks to broaden its impact by supporting national initiatives aimed at the Environment, Wildlife Preservation and Animal Welfare.” </t>
  </si>
  <si>
    <t>Legal Education Diversity Pipeline Grant Program</t>
  </si>
  <si>
    <t>SocSci
Legal studies</t>
  </si>
  <si>
    <t>"To be considered for funding, a proposal must seek to improve directly access to legal education for historically underrepresented minority students and students from economically disadvantaged backgrounds. Measurement and evaluation are essential components for demonstrating the effectiveness and scalability of interventions, and are key factors when deciding what grants we make. AccessLex Institute also encourages applications from programs that display a collaborative approach and strong partnerships with other organizations to achieve the goal of enhancing access to legal education for students from diverse backgrounds."</t>
  </si>
  <si>
    <t>USArtists International Program</t>
  </si>
  <si>
    <t>Another Deadline: 3/30/2022
"USArtists International supports performances by U.S. artists at impactful international festivals and performing arts marketplaces outside the United States and its territories. The program supports the engagements of exemplary solo artists and ensembles across all performing arts disciplines including dance, music, theater, multidisciplinary work, and folk/traditional arts.
USArtists International is designed to encourage the presence of U.S. performing artists on international stages and in the global arts community; to support engagements that develop and expand both the careers and artistic goals of U.S. performers by providing connections with presenters, curators, and fellow artists; and to promote justice in the arts community by elevating the diverse voices contributing to the vibrant array of creative expression in the United States.."</t>
  </si>
  <si>
    <t>Institute of English Studies Fellowships</t>
  </si>
  <si>
    <t>A&amp;H
English</t>
  </si>
  <si>
    <t>"The activities of the Institute of English Studies attract those interested in the English language and its literatures (including other national and international literatures in English), in the History of the Book, and in cognate fields of study. Its approach is interdisciplinary, and it co-ordinates a substantial amount of research activity through the Centre for Manuscript and Print Studies which it hosts on behalf of a cross-sectoral group of seven universities and libraries including the British Library and the St Bride Printing Library. It has a strong presence in the writing of national histories of the book in Britain and Ireland and a strong presence in mediaeval English Palaeography. It hosts a variety of Research Seminar series annually, and about twenty conferences, as well as an ambitious publishing programme."</t>
  </si>
  <si>
    <t>Breakthrough Prizes in Fundamental Physics, Life Sciences, and Mathematics and New Horizons Prizes</t>
  </si>
  <si>
    <t>"Why is there something rather than nothing?
What is the Universe made of?
How did life begin?
How can matter think?
How much is knowable?
The disciplines that ask the biggest questions and find the deepest explanations are the fundamental sciences. The Breakthrough Prizes honor important, primarily recent, achievements in the categories of Fundamental Physics, Life Sciences and Mathematics. The prizes are sponsored by Sergey Brin, Priscilla Chan and Mark Zuckerberg, Pony Ma, Yuri and Julia Milner, and Anne Wojcicki. Committees of previous laureates choose the winners from candidates nominated in a process that’s online and open to the public.... While self-nominations are prohibited, anyone may nominate another person.... For the seventh year, the Breakthrough Prize, recognized as the world’s largest science prize, will honor top scientists, handing out up to four prizes in Life Sciences, one in Fundamental Physics and one in Mathematics. Each prize comes with a $3 million award. In addition, up to six New Horizons Prizes, each for $100,000, will be presented to promising early-career researchers in the fields of Physics and Mathematics."</t>
  </si>
  <si>
    <t>Fellowship honor</t>
  </si>
  <si>
    <t>DIVISIONS HAVE OTHER DEADLINES, including several on 5/1/21 and 6/1/21
"The criterion for election is exceptional contributions to the physics enterprise; e.g., outstanding physics research, important applications of physics, leadership in or service to physics, or significant contributions to physics education. Fellowship is a distinct honor signifying recognition by one's professional peers."</t>
  </si>
  <si>
    <t>$21,250 for 6-9 months</t>
  </si>
  <si>
    <t>"The Fellowships in Aerospace History are offered annually by the National Aeronautics Space Administration (NASA) to support significant scholarly research projects in aerospace history. These fellowships grant the opportunity to engage in significant and sustained advanced research in all aspects of the history of aerospace from the earliest human interest in flight to the present, including cultural and intellectual history, economic history, history of law and public policy, and the history of science, engineering, and management. NASA provides funds to the American Historical Association, the History of Science Society, and the Society for the History of Technology to allow each association to award a fellowship. Applications will be entered into consideration for all three fellowships.... The fellow will be expected to devote the term entirely to the proposed research project. Residency is not required."</t>
  </si>
  <si>
    <t>Research and Experimentation Grant Program</t>
  </si>
  <si>
    <t>&lt;$20,000</t>
  </si>
  <si>
    <t>Other dealine of 11/1/21                                                                                        "Areas of interest to the Fund are: studies to develop,
refine, evaluate, or disseminate innovative interventions designed to prevent or
ameliorate major social, psychological, behavioral or public health problems affecting children, adults, couples, families, or communities, or studies that have the potential for adding significantly to knowledge about such problems."</t>
  </si>
  <si>
    <t>"Competitive fellowships supported by the Kress Foundation are awarded to art historians and art conservators in the final stages of their preparation for professional careers, as well as to students of art history and related fields who are interested in art museum education and curating. To learn more about a particular fellowship and how to apply, select a program below."</t>
  </si>
  <si>
    <t>Visionary Grants</t>
  </si>
  <si>
    <t>&lt;10 year postdoc</t>
  </si>
  <si>
    <t>"The APF Visionary Grants seek to seed innovation through supporting research, education and intervention projects and programs that use psychology to solve social problems in the following priority areas:
Applying psychology to at-risk, vulnerable populations (e.g. serious mental illness, returning military, those who are incarcerated or economically disadvantaged)Preventing violenceUnderstanding the connection between behavior and health (e.g. wellness, diabetes, obesity)Understanding and eliminating stigma and prejudice (e.g. race, gender, sexual orientation, religion, age, disability and socioeconomic status)
Preference will be given to pilot projects that, if successful, would be strong candidates for support from major federal and foundation funding agencies, and “demonstration projects” that promise to generalize broadly to similar settings in other geographical areas and/or to other settings."</t>
  </si>
  <si>
    <t>J Franklin Jameson Fellowship</t>
  </si>
  <si>
    <t>*discontinued* "The J. Franklin Jameson Fellowship in American History is offered annually by the John W. Kluge Center at the Library of Congress and the American Historical Association to support significant scholarly research in the collections of the Library of Congress by scholars at an early stage in their careers in history."</t>
  </si>
  <si>
    <t>A&amp;H 
History</t>
  </si>
  <si>
    <t>$2,000-$3,000</t>
  </si>
  <si>
    <t>Other annual deadline of 11/1                                                                                           "Short-term fellowships are awarded for one or more months, and open to academics from any country, subject to selection by committee.  Successful applicants will be working on Jefferson-related projects. Priority is given to Jefferson-related projects using the Digital Archeological Archive of Comparative Slavery or Getting Word.
Fellows are expected to be in residence at the Robert H. Smith International Center for Jefferson Studies (ICJS), where they will have access to Monticello's expert staff and research holdings at the Jefferson Library as well as those of the University of Virginia. During their residencies, fellows hold a 45 minute forum on their research projects."</t>
  </si>
  <si>
    <t>conference</t>
  </si>
  <si>
    <t>$9,000 ($1,500 per speaker per conference)</t>
  </si>
  <si>
    <t>Other annual deadline of 10/1                                                                                              "The Society for The Teaching of Psychology (STP; Division 2 of APA) is pleased to announce a program to provide support to teaching conferences or preconferences to fund speakers related to the teaching of psychology. The grant program is open to any gathering of psychology teachers from 4-year colleges and universities, 2-year colleges, or high schools. (Please note that the program does not fund speakers for regional research conferences through this program; long-standing regional research conferences are supported by STP through another program.)"</t>
  </si>
  <si>
    <t>Park City Mathematics Institute Summer Research Session</t>
  </si>
  <si>
    <t xml:space="preserve">*Website as of 2.17.21 "Applications will be available starting February 15, 2021. Program updates will be available within the next week. Please stay tuned."                                                                                       “Complementing the highly structured Graduate Summer School, which is directed at younger mathematicians, the Research Program in Mathematics addresses the needs of mathematicians who are already carrying out research. The program offers advanced scholars the opportunity to do research, collaborate with their peers, meet outstanding students, and explore new teaching ideas with professional educators.
New and recent PhDs are especially encouraged to apply if they are working in the central field of harmonic analysis or its applications to geometry, partial differential equations, probability, and number theory. Small groups of collaborators from geographically separate areas are also encouraged to apply. The informal format of the Research Program generates lively exchanges of views and information between established and newer researchers.“  </t>
  </si>
  <si>
    <t xml:space="preserve"> R13, U13 Conference Grants and Conference Cooperative Agreements </t>
  </si>
  <si>
    <t>Permission to submit deadline = March 1, 2021 Deadline = April 12, 2021
"The NIH ICs each have different scientific missions, as well as program goals and initiatives that evolve over time. In order to promote the most efficient use of NIH funds towards meeting the mission and program goals of the ICs, each conference grant application is required to contain a permission-to-submit letter from one of the participating ICs (see IC Contact and Special Interests website).
Applicants are urged to initiate contact well in advance of the chosen application receipt date and no later than 6 weeks before that date. 
Applicants should inquire about IC-specific program priorities and policies in regards to conference grants.
Please note that agreement to accept an application does not guarantee funding."</t>
  </si>
  <si>
    <t>$4,200/month for 6-12 months</t>
  </si>
  <si>
    <t>"Fellowships support individuals pursuing advanced research that is of value to humanities scholars, general audiences, or both. Recipients usually produce articles, monographs, books, digital materials, archaeological site reports, translations, editions, or other scholarly resources in the humanities."</t>
  </si>
  <si>
    <t>"MacDowell encourages applications from artists representing the widest possible range of perspectives and demographics. Emerging and established artists may apply in the following disciplines: architecture, film/video arts, interdisciplinary arts, literature, music composition, theatre, and visual arts."</t>
  </si>
  <si>
    <t>&lt;$75,000/year</t>
  </si>
  <si>
    <t>*Other Deadlines: 9/1, 2/15*
  Deadlines are for Letter of Intent
"The Whitehall Foundation, through its program of grants and grants-in-aid, assists scholarly research in the life sciences. It is the Foundation's policy to assist those dynamic areas of basic biological research that are not heavily supported by Federal Agencies or other foundations with specialized missions. In order to respond to the changing environment, the Whitehall Foundation periodically reassesses the need for financial support by the various fields of biological research.
The Foundation emphasizes the support of young scientists at the beginning of their careers and productive senior scientists who wish to move into new fields of interest. Consideration is given, however, to applicants of all ages.
Research grants are available to established scientists of all ages working at accredited institutions in the United States.
The Grants-in-Aid program is designed for researchers at the assistant professor level who experience difficulty in competing for research funds because they have not yet become firmly established. Grants-in-Aid can also be made to senior scientists."  These grants cannot exceed $30,000.</t>
  </si>
  <si>
    <t xml:space="preserve">*Other Deadlines: 9/1, 2/15*
"The Whitehall Foundation, through its program of grants and grants-in-aid, assists scholarly research in the life sciences. It is the Foundation's policy to assist those dynamic areas of basic biological research that are not heavily supported by Federal Agencies or other foundations with specialized missions. In order to respond to the changing environment, the Whitehall Foundation periodically reassesses the need for financial support by the various fields of biological research. The Foundation emphasizes the support of young scientists at the beginning of their careers and productive senior scientists who wish to move into new fields of interest. Consideration is given, however, to applicants of all ages….
The Foundation is currently interested in basic research in neurobiology, defined as follows: Invertebrate and vertebrate (excluding clinical) neurobiology, specifically investigations of neural mechanisms involved in sensory, motor, and other complex functions of the whole organism as these relate to behavior. The overall goal should be to better understand behavioral output or brain mechanisms of behavior.”
“Research grants are available to established scientists of all ages working at accredited institutions in the United States. The Grants-in-Aid program is designed for researchers at the assistant professor level who experience difficulty in competing for research funds because they have not yet become firmly established. Grants-in-Aid can also be made to senior scientists." These grants cannot exceed $30,000.” </t>
  </si>
  <si>
    <t>Small Research Grant Program</t>
  </si>
  <si>
    <t>*Other deadline of 6/15 annually*                                                                                                                     "The APSA Small Research Grant Program supports research in all fields of political science. The intent of these grants is to provide funding opportunities for research conducted by political scientists not employed at PhD-granting departments in the field, or who are in non-tenure track or contingent positions ineligible for departmental funding."</t>
  </si>
  <si>
    <t>National Urban and Community Forestry Grant Program</t>
  </si>
  <si>
    <t>$75,000-200,000</t>
  </si>
  <si>
    <t>The National Urban and Community Forestry Advisory Council (Council) "seeks to establish sustainable urban and community forests, by encouraging communities of all sizes to manage and protect their natural resources, which, if well managed, improves the public’s health, well-being, economic vitality, and creates resilient ecosystems for present and future generations. Urban and Community Forestry Program Requirements The Council recommends urban and community forestry projects that have national or multi-state application and impact through the U.S. Forest Service’s competitive Urban and Community Forestry Challenge Cost-Share Grant Program."</t>
  </si>
  <si>
    <t>Projects, public engagement</t>
  </si>
  <si>
    <t>"This category supports focused, distinct projects that take place over limited periods of time and involve limited geographic areas. Such projects generally are smaller in scale and shorter in duration than those in the Art Works category.
All projects must extend the reach of the arts to populations that have limited access to the arts due to geography, ethnicity, economics, or disability. The involvement of experienced artists and arts professionals is essential. Each applicant must present a straightforward project that reflects only one of the three project types below. Grants are available only for:
Guest Artist project type, which refers to an arts event or events that will feature one or more guest artists...
Cultural Tourism, specifically the unified promotion of community-wide arts activities and/or the development of cultural tourism products to enhance public engagement with arts and culture in communities and in cultural districts...
Art Projects, community-based and professionally directed..."</t>
  </si>
  <si>
    <t>Sponsored Research Program</t>
  </si>
  <si>
    <t>"PMI research grants support new academic research with the intent to advance knowledge in project, program and portfolio management. Awards of up to US$50,000 are granted to selected recipients."</t>
  </si>
  <si>
    <t>technology</t>
  </si>
  <si>
    <t>$100,000/year for 2 years</t>
  </si>
  <si>
    <t>*DISCONTINUED* "These awards support scientists working on new and unusual approaches to understanding brain function. The program seeks to advance and enlarge the range of technologies available to the neurosciences. It does not support research based primarily on existing techniques.
The Endowment Fund is especially interested in how technology may be used or adapted to monitor, manipulate, analyze, or model brain function at any level, from the molecular to the entire organism. Collaborative and cross-disciplinary applications are invited."</t>
  </si>
  <si>
    <t>The Russell Berrie Fellowship in Interreligious Studies</t>
  </si>
  <si>
    <t>A&amp;H
Religion</t>
  </si>
  <si>
    <t>*DISCONTINUED* "The Russell Berrie Fellowship targets priests, women religious, and members of the laity for the purpose of studying at the Angelicum to obtain a Licence Degree or a Diploma in Interreligious Studies. This program is a timely initiative at the Pontifical University of St. Thomas Aquinas (Angelicum). The goal of the Fellowship Program is to build bridges between Christian, Jewish, and other religious traditions by providing the next generation of religious leaders with a comprehensive understanding of and dedication to interfaith issues."  The fellowship is administered by the Institute of International Education (IIE).</t>
  </si>
  <si>
    <t>$1,000/week AUD
$700/week AUD for accommodations
travel support</t>
  </si>
  <si>
    <t>"The National Library of Australia offers a range of Fellowships and Scholarships for established and emerging researchers, practising writers and creative artists, and younger scholars. These are designed to stimulate sustained scholarly, literary and artistic use of our collections, and promote lively interaction within the Library’s community.  Through the program, researchers gain in-depth access to Library collections and staff expertise, financial assistance, and uninterrupted time for research in a respected and supportive scholarly environment." "The National Library of Australia Fellowships support researchers to make intensive use of the Library’s rich and varied collections over a sustained period of three months."</t>
  </si>
  <si>
    <t>Mellon Fellowships for Digital Publication</t>
  </si>
  <si>
    <t>"Through NEH-Mellon Fellowships for Digital Publication, the National Endowment for the Humanities and The Andrew W. Mellon Foundation jointly support individual scholars pursuing interpretive research projects that require digital expression and digital publication. To be eligible for this special opportunity, an applicant’s plans for digital publication must be essential to the project’s research goals. That is, the project must be conceived as digital because the nature of the research and the topics being addressed demand presentation beyond traditional print publication. Successful projects will likely incorporate visual, audio, and/or other multimedia materials or flexible reading pathways that could not be included in traditionally published books, as well as an active distribution plan."</t>
  </si>
  <si>
    <t>Fellowships for Advanced Social Science Research in Japan</t>
  </si>
  <si>
    <t>"The Fellowships for Advanced Social Science Research on Japan program is a joint activity of the Japan-U.S. Friendship Commission (JUSFC) and the National Endowment for the Humanities. Awards support research on modern Japanese society and political economy, Japan's international relations, and U.S.-Japan relations. The program encourages innovative research that puts these subjects in wider regional and global contexts and is comparative and contemporary in nature. Research should contribute to scholarly knowledge or to the general public’s understanding of issues of concern to Japan and the United States. Appropriate disciplines for the research include anthropology, economics, geography, history, international relations, linguistics, political science, psychology, public administration, and sociology. Awards usually result in articles, monographs, books, digital materials, archaeological site reports, translations, editions, or other scholarly resources."</t>
  </si>
  <si>
    <t>The Louis O. Kelso Fellowships</t>
  </si>
  <si>
    <t>*Updated 7/20/21*"The Louis O. Kelso Fellowships are awarded to outstanding scholars studying the topic of broadened ownership of capital in a democraticsociety in the United States. Ph.D. candidates, postdoctoral scholars, or visiting professors in the areas of business/economics/labor studies/management, history, law, philosophy, political science, psychology, public policy, or sociology may apply.... 
The general theme of the fellowship includes the study of the idea and practice and public policy of broadening the ownership of capital assets in society such as the Employee Stock Ownership Plan (ESOP), which broadens the ownership of corporations, as well as approaches whereby consumers may have capital ownership of enterprises and individual citizens may have access to opportunities for capital acquisition. The relevance of these and other related ideas to the concept of economic democracy and democratic capitalism can also be pursued.
The fellows may be supported at their home institution or may be in residence at Rutgers University with the period and length of residency varying between July 1 and June 30 of the academic year.  The fellows will receive stipends of $12,500 that can be used for research, travel, or living expenses."</t>
  </si>
  <si>
    <t>Awards</t>
  </si>
  <si>
    <t>"The Feminist Review Trust gives grants to projects in the UK and internationally that support women
In 2018 and 2019 we will particularly welcome applications from non-OECD countries that focus on campaigning and activism in the following areas:
- Lesbian and transgender rights
- Violence against women and girls
- Disabled women and girls
 - Refugee women and girls"</t>
  </si>
  <si>
    <t>American Schools of Oriental Research</t>
  </si>
  <si>
    <t>Area Studies
History</t>
  </si>
  <si>
    <t>*No new DEADLINE as of 7.1.21*                                                                                   "for a period of research lasting three months to a year. $1,000 of this Fellowship amount will be allocated for registration and travel support to the 2018 or 2019 ASOR Annual Meeting, where the successful applicant will be expected to present a paper on his or her research. This Fellowship is primarily intended to support field/research on ancient Mesopotamian civilization carried out in the Middle East, but other projects such as travel to work on museum collections or archives related to ancient Mesopotamia will also be considered."</t>
  </si>
  <si>
    <t>Council for Library and Information Resources</t>
  </si>
  <si>
    <t>Digitizing Hidden Special Collections &amp; Archives</t>
  </si>
  <si>
    <t>$100-250k</t>
  </si>
  <si>
    <t>CLIR is pleased to announce Digitizing Hidden Special Collections and Archives: Amplifying Unheard Voices. Generously funded through The Andrew W. Mellon Foundation, this program invites proposals to digitize materials that deepen public understanding of the histories of people of color and other communities and populations whose work, experiences, and perspectives have been insufficiently recognized or unattended. By funding a cohort of academic, independent, and community-based organizations to digitize now-unavailable or underutilized collections, CLIR will cultivate broad recognition of the value of creating access to resources that document historically marginalized people to the advancement of social justice.”</t>
  </si>
  <si>
    <t>"Magic Grants provide year-long funding awards of up to $150,000 ($300,000 for teams with members of both the Columbia and Stanford communities). In addition to funding, grantees have access to a distinguished advisory and mentoring group, an extensive and inspiring alumni network.
We are looking for hardware, software, and story proposals. We are interested in projects that advance storytelling and journalism through new applications of technology. We also are interested in new tools and technologies that extend media broadly.
Since its founding six years ago, the Brown Institute has funded over 140 people across over 40 projects. Example include…
An open repository for data on the Panamanian government. A hotspot detector for social media feeds, highlighting important stories in a city. A tool to auto-generate rough cuts for documentary videos. A 360-video documentary on the famine in South Sudan. An augmented reality application for enhancing tours though art museums. Experiments with natural and gestural (i.e., not a joystick) interfaces to drones. A platform for helping science journalists better contextualize new research reports."</t>
  </si>
  <si>
    <t>Fejos Postdoctoral Fellowship in Ethnographic Film</t>
  </si>
  <si>
    <t>early career &lt;10 years postdoc</t>
  </si>
  <si>
    <t>Hunt Postdoctoral Fellowships</t>
  </si>
  <si>
    <t>Social Science
Anthropology and Archeology</t>
  </si>
  <si>
    <t>Fellowship project</t>
  </si>
  <si>
    <t>"By providing funds for scholars to devote themselves full-time to writing, the Foundation aims to enable a new generation of scholars to publish significant works that will impact the development of anthropology. The program contributes to the Foundation's overall mission to support basic research in anthropology and to ensure that the discipline continues to be a source of vibrant and significant work that furthers our understanding of humanity's cultural and biological origins, development, and variation. The Foundation supports research that demonstrates a clear link to anthropological theory and debates."</t>
  </si>
  <si>
    <t>Race, Ethnicity, and Immigration</t>
  </si>
  <si>
    <t>Social Sciences
Race studies</t>
  </si>
  <si>
    <t>&lt;$175,000/2 years</t>
  </si>
  <si>
    <t>"The new program encourages multi-disciplinary perspectives on questions stemming from the significant changes in the racial, ethnic, and immigrant-origin composition of the U.S. population. A primary goal is to find ways in which researchers from different social science traditions studying issues of race, ethnicity, and immigration may complement one another in productive and innovative ways. We continue to encourage multi-disciplinary perspectives and methods that both strengthen the data, theory, and methods of social science research and foster an understanding of how we might better achieve the American ideals of a pluralist society."</t>
  </si>
  <si>
    <t xml:space="preserve"> monthly per diem commensurate with academic status that 
provides for round-trip economy airfare.</t>
  </si>
  <si>
    <t>ARCE offers funded fellowships and a research associate program for a wide range of scholars looking to conduct research in Egypt. Previous fellows have represented the fields of anthropology, archaeology, architecture, fine art, art history, Coptic studies, economics, Egyptology, history, humanistic social sciences, Islamic studies, literature, political science, religious studies and even music.</t>
  </si>
  <si>
    <t>&lt;$150,000/2 years</t>
  </si>
  <si>
    <t>"The Future of Work program examines the causes and consequences of the deteriorating quality of low-wage jobs in the United States. Projects sponsored by the program have examined a wide range of causal factors, from foreign outsourcing and immigration to the decline of unions and technological change, that may have depressed wages of low-education workers. Current research under this program includes a new investigation to re-assess how minimum wage increases affect employment and the broader labor market; a new study of the extent of offshoring of production by U.S. firms and its impact on the economy; and a project that examines the role of job search behaviors on the employment and wage outcomes of women and minorities in the post-recessionary U.S. labor market, among others."</t>
  </si>
  <si>
    <t>"The Russell Sage Foundation's program on Social Inequality supports innovative research on whether rising economic inequality has affected social, political, and economic institutions, and the extent to which increased inequality has affected equality of opportunity, social mobility, and the intergenerational transmission of advantage. We seek investigator-initiated research projects that will broaden our understanding of the causes and consequences of rising economic inequalities in the United States....
Funding is available for secondary analysis of data or for original data collection. We are especially interested in novel uses of existing data, as well as analyses of new or under-utilized data. Proposals to conduct laboratory or field experiments, in-depth qualitative interviews, and ethnographies are also encouraged. Smaller projects might consist of exploratory fieldwork, a pilot study, or the analysis of existing data."</t>
  </si>
  <si>
    <t>Behavioral Science and Decision Making in Context</t>
  </si>
  <si>
    <t>(9/10) is another deadline
"The Russell Sage Foundation’s (RSF) core program on Behavioral Science and Decision Making in Context merges its long-standing program on Behavioral Economics and its special initiative on Decision Making and Human Behavior in Context. This program encourages perspectives from multiple disciplines, including economics, psychology, political science, sociology, law, public policy, and other social sciences, to further our understanding of economic, social, political, and psychological decision-making processes, attitudes, behaviors, and institutional practices in public and private contexts such as policing/criminal legal systems, employment, housing, politics, racial/ethnic relations, and immigration."</t>
  </si>
  <si>
    <t>Leading Edge Fellowships</t>
  </si>
  <si>
    <t>postdoctoral</t>
  </si>
  <si>
    <t>$60,000/year</t>
  </si>
  <si>
    <t>Leading Edge Fellowships place recent humanities PhDs with nonprofit organizations committed to promoting social justice in their communities. Fellows lead substantive projects that draw on the skills and capacities honed in the course of earning the humanities PhD, including advanced communication, research, project management, and creative problem solving.</t>
  </si>
  <si>
    <t>project
research</t>
  </si>
  <si>
    <t>"The Roddenberry Fellowship is a new 12-month program for activists from across the country who are working to protect the most vulnerable and to make the US a more inclusive and equitable place to live. Twenty Fellows will be selected to receive $50,000 each, as well as tailored support, to help implement a project or initiative in one of four areas:
Civil Rights
Climate Change and Environmental Justice
Immigration and Refugee Rights
LGBTQIA and Women’s Rights
The Foundation does not aim to dictate how Fellows plan to bring about change on a chosen issue. It’s up to each Fellow, but we are interested in impact. Increasing one’s Twitter following or getting 1,000 likes is not, in and of itself, considered impactful. We also favor innovative approaches: projects that push boundaries, are cross-sectoral, challenge tradition, seek new ways of approaching systemic and entrenched problems, or leverage specific (timely) opportunities in unconventional ways."</t>
  </si>
  <si>
    <t xml:space="preserve">Barry Amiel &amp; Norman Melburn Trust Grants </t>
  </si>
  <si>
    <t>Two deadlines annually.  Awards over £6,000 are considered only at the 12/1 deadline.
“The general objectives of the Trust are to advance public education, learning and knowledge in all aspects of
(a) the philosophy of Marxism
(b) the history of socialism, and
(c) the working class movement.”
"In forthcoming rounds, the Trust will aim to ringfence 50% of funds for applications for projects with a strong focus on popular political education and on engagement with non-academic and non-activist audiences, especially those focused on reaching people and communities across the UK who are likely to face barriers to accessing education, learning and knowledge about the philosophy of Marxism, the history of socialism, the working class movement and other social movements seeking to bring about non-exploitative and egalitarian societies. These barriers could include educational, financial, geographical, or political cultural barriers."</t>
  </si>
  <si>
    <t>up to $35,000</t>
  </si>
  <si>
    <t>"With support from the National Science Foundation (NSF), the AERA Grants Program announces its Research Grants competition. The program seeks to stimulate research on U.S. education issues using data from the large-­scale, national and international data sets supported by the National Center for Education Statistics (NCES), NSF, and other federal agencies, and to increase the number of education researchers using these data sets. The program supports research projects that are quantitative in nature, include the analysis of existing data from NCES, NSF or other federal agencies, and have U.S. education policy relevance."</t>
  </si>
  <si>
    <t>Institute of Modern Languages Research Fellowship</t>
  </si>
  <si>
    <t>*No new DEADLINE as of 3.17.21*                                                                                       "The Institute of Modern Languages Research offers opportunities for visiting scholars, with or without funding, to conduct research into any field relevant to the work of the Institute."</t>
  </si>
  <si>
    <t>A&amp;H
Dance</t>
  </si>
  <si>
    <t>"The Jerome Robbins Dance Division invites applications from scholars and practitioners interested in investigating the theme of dance and immigration. Specifically, we are excited to learn how the histories contained within our archive can open up dialogue that pertains to our present."</t>
  </si>
  <si>
    <t>Mika Salpeter Lifetime Achievement Award</t>
  </si>
  <si>
    <t>"The Mika Salpeter Lifetime Achievement Award recognizes an individual with outstanding career achievements in neuroscience who has also significantly promoted the professional advancement of women in neuroscience. "</t>
  </si>
  <si>
    <t>&lt;2 years postdoc</t>
  </si>
  <si>
    <t>$62,000, &lt;$25,000 for health insurance and for research costs</t>
  </si>
  <si>
    <t>"The Simons Foundation invites applications for postdoctoral fellowships to support research on fundamental problems in marine microbial ecology. The foundation is particularly interested in applicants with training in different fields who want to apply their experience to understanding the role of microorganisms in shaping ocean processes and vice versa, as well as applicants with experience in modeling or theory development. While these cross-disciplinary applicants will receive particular attention, applicants already involved in ocean research are also encouraged to apply."</t>
  </si>
  <si>
    <t>High Ed</t>
  </si>
  <si>
    <t>*Updated on 7/20/21* "The Beyster fellowships are awarded to outstanding Ph.D. candidates or postdoctoral scholars in the areas of economics, history, management, business and labor relations, law, philosophy, psychology, political science, public policy, and sociology studying employee ownership and related ideas such as profit sharing and broad-based stock options in the corporation and society in the United States. The fellowships permit the students to associate with several scholars engaged in this area of research at Rutgers and receive mentoring and support.... [The Postdoctoral Fellowship] will support pre-tenure scholars and recent Ph.D. graduates.The stipend is $25,000 for one year and can be used for research, travel, and living expenses. The fellow can be a resident at Rutgers University or at their home institution. The period and length of residency varies.... [The Visiting Professor] supports a scholar who holds an academic appointment at another university and visits Rutgers in order to collaborate with researchers at the university."</t>
  </si>
  <si>
    <t>Area Studies
Arts &amp; Humanities</t>
  </si>
  <si>
    <t>*Check website for details, some are paused due traveling restrictions*                                                                                                                      The Harriman Institute seeks to support the faculty and associated faculty of the institute through a number of research funding opportunities, including the Harriman curriculum development grant, the Russian studies research grant, the PepsiCo fellowships for research travel/study, Tymkiw Ukrainian Fellowships, and faculty publication grants.</t>
  </si>
  <si>
    <t>Joan Kelly Memorial Prize</t>
  </si>
  <si>
    <t>"Established in 1984 and named in memory of Joan Kelly (1928–82), this prize is awarded annually for the book in women’s history and/or feminist theory that best reflects the high intellectual and scholarly ideals exemplified by the life and work of Joan Kelly. The prize was established by the Coordinating Committee on Women in the Historical Profession and the Conference Group on Women’s History (now the Coordinating Council for Women in History), and is administered by the American Historical Association."</t>
  </si>
  <si>
    <t>Nupur Chaudhuri First Article Prize</t>
  </si>
  <si>
    <t>"The CCWH Nupur Chaudhuri Article Prize is an annual $1000 prize that recognizes the best first article published in the field of history by a CCWH member.
Named to honor long-time CCWH board member and former executive director and co-president from 1995-1998 Nupur Chaudhuri, the article must be published in a refereed journal in one of the two years proceeding the prize year.  An article may only be submitted once.  All fields of history will be considered, and articles must be submitted with full scholarly apparatus."</t>
  </si>
  <si>
    <t>$5,000/month for 9 months</t>
  </si>
  <si>
    <t>"The Kennan Institute seeks applications from scholars who have received their Ph.D. within the past 10 years for the James H. Billington Fellowship to conduct research on Russian history and culture. The Billington Fellowship was established in 2016 in tribute to the co-founder of the Kennan Institute, Director Emeritus of the Wilson Center, and Librarian Emeritus of Congress, James H. Billington. Dr. Billington has made enduring contributions to the field of Russian Studies, and in our nation’s ability to understand and maintain bridges of dialogue with the Russian people."</t>
  </si>
  <si>
    <t>$10,000-25,000</t>
  </si>
  <si>
    <t xml:space="preserve">"New Investigator Grant
This grant is specifically targeted towards new investigators.  A new investigator is defined as someone who is either a fellow or within 10 years of completion of fellowship or equivalent specialist training in their country and has not previously been awarded funding from a major funding organization.  However, this grant is available to candidates who have received a Small Exploratory grant....
Small Exploratory Grant
This grant is designed specifically for new investigators who have a preliminary concept they would like to develop into a research project....
SRS-Cotrel Foundation Basic Science Grant
The SRS-Cotrel Foundation basic science research grants is for projects that will be performing work at the level of a small animal (rodent, fish, etc.) or smaller, including tissue, cellular, and molecular levels. Population genetics studies are also included in this category. Biomechanical studies will not be considered in this category.
Standard Investigator Grant
...These grant applications may be in any area of spinal deformity research, although an additional funding source for grants focusing on the etiology of scoliosis is available in conjunction with the Cotrel Foundation. These grant applications require evidence that the investigator has the experience and resources to complete the proposed research. As such, preliminary data is generally required.” </t>
  </si>
  <si>
    <t>Catherine Prelinger Award</t>
  </si>
  <si>
    <t>ABD+</t>
  </si>
  <si>
    <t>"This award, named for Catherine Prelinger, a former CCWH president and nontraditional scholar, is intended to enhance the work of a contemporary scholar whose academic path has not followed the traditional path of uninterrupted study, moving from completed secondary, to undergraduate, then graduate degrees, followed by a tenure-track faculty position."</t>
  </si>
  <si>
    <t>Einstein Forum</t>
  </si>
  <si>
    <t>10,000 plus travel</t>
  </si>
  <si>
    <t>"The Einstein Forum and the Daimler and Benz Foundation are offering a fellowship for outstanding young thinkers who wish to pursue a project in a different field from that of their previous research. The purpose of the fellowship is to support those who, in addition to producing superb work in their area of specialization, are also open to other, interdisciplinary approaches – following the example set by Albert Einstein.
The fellowship includes living accommodations for five to six months in the garden cottage of Einstein`s own summerhouse in Caputh, Brandenburg, only a short distance away from the universities and academic institutions of Potsdam and Berlin."</t>
  </si>
  <si>
    <t>OPENS IN NOVEMBER 2018
"The Center for Italian Modern Art awards a number of fellowships each year to support the study of Italian modern and contemporary art by scholars at the master’s, doctoral, and post-doctoral level. The program’s intention is to bring together emerging scholars from diverse academic backgrounds in an interactive and collaborative environment at CIMA’s New York location. Fellows pursue their own research, but also participate in the annual installation and the Center’s activities. CIMA also offers a Travel Fellowship for scholars interested in studying in Italy, and an Affiliated Fellowship with the Civitella Ranieri to support an art historian’s stay for six weeks at the residence in Italy. Citizens of all nationalities are eligible to apply."</t>
  </si>
  <si>
    <t>American Antiquarian Society</t>
  </si>
  <si>
    <r>
      <rPr>
        <rFont val="Calibri"/>
        <color rgb="FF1155CC"/>
        <sz val="10.0"/>
        <u/>
      </rPr>
      <t xml:space="preserve">Fellowships for Creative nd Performing Artists and </t>
    </r>
    <r>
      <rPr>
        <rFont val="Calibri"/>
        <color rgb="FF366092"/>
        <sz val="10.0"/>
      </rPr>
      <t>Writers</t>
    </r>
  </si>
  <si>
    <t>“The American Antiquarian Society (AAS), a national research library and learned society of American history and culture, is calling for applications for visiting fellowships for historical research by creative and performing artists, writers, film makers, journalists, and other persons whose goals are to produce imaginative, non-formulaic works dealing with pre-twentieth-century American history. Successful applicants are those whose work is for the general public rather than for academic or educational audiences.”</t>
  </si>
  <si>
    <t>*Another Deadline is 05/16/22*
"DAAD grants provide foreign academics and scientists with an opportunity to carry out research and continue their education in Germany. The aim of this particular programme is to support short-term research stays and thus promote the exchange of experience and networking amongst colleagues. Research stays can be funded at state or state-recognised institutions of higher education or non-university research institutes in Germany and last one to three months, providing monthly payments as well as travel allowances."</t>
  </si>
  <si>
    <t>$15,000 to $50,000</t>
  </si>
  <si>
    <t>"The program supports writing about contemporary art and aims to ensure that critical writing remains a valued mode of engaging the visual arts. These grants support projects addressing both general and specialized art audiences, from scholarly studies to self-published blogs."</t>
  </si>
  <si>
    <t>$1,000-$10,000</t>
  </si>
  <si>
    <t>"ArtsCONNECT provides funding for mid-Atlantic-based presenters (New Jersey, Delaware, Maryland) working collaboratively to engage a performing artist or ensemble. The program aims to develop and deepen relationships among the region’s presenters, helping build a more sustainable touring environment for artists and ensembles. The supported tours include performances as well as community engagement activities that enhance the performance experience, and offer meaningful exchanges between touring artists and a presenter’s community.
The program provides support for projects in which at least three performing arts presenters from two different states work collaboratively to present a touring solo artist or ensemble. The tours include performances as well as activities such as artist discussions, lecture demonstrations, master classes, and workshops designed to build greater appreciation for the work of the touring artist or ensemble. The program also is designed to develop and deepen relationships among the regions presenters in order to build a more sustainable touring environment for professional performing artists."</t>
  </si>
  <si>
    <t>R03, R21, R33, R34, R36 - Other Research Grants</t>
  </si>
  <si>
    <t>Annual deadline</t>
  </si>
  <si>
    <t>SocSci
Sociology</t>
  </si>
  <si>
    <t>"This Funding Opportunity Announcement (FOA) invites Small Research Grant (R03) applications to study the ethical, legal and social implications (ELSI) of human genome research.  These applications should be for small, self-contained research projects, such as those that involve single investigators.  Of particular interest are projects that propose normative or conceptual analyses, including focused legal, economic, philosophical, anthropological, or historical analyses of new or emerging issues.  This mechanism can also be used for the collection of preliminary data and the secondary analysis of existing data."</t>
  </si>
  <si>
    <t>Research Education Program (R25), National Institute of Allergy and Infectious Disease</t>
  </si>
  <si>
    <t>Sciences
Health and Medicine</t>
  </si>
  <si>
    <t>Optional LOI due 11/5/18.  Application deadline is 12/5/18
"The NIH Research Education Program (R25) supports research education activities in the mission areas of the NIH.  The over-arching goal of this National Institute of Allergy and infectious Diseases (NIAID) R25 program is to support educational activities that complement and/or enhance the training of a workforce to meet the nation’s biomedical, behavioral and clinical research needs in NIAID mission areas.  
To accomplish the stated over-arching goal, this FOA will support creative educational activities with a primary focus on Courses for Skills Development, Research Experiences and Mentoring Activities related to NIAID's mission areas."</t>
  </si>
  <si>
    <t>up to £32,000 (~$41,000)</t>
  </si>
  <si>
    <t>*EXPIRED*                                                                                                                                   "The Newton International Fellowship Scheme was established in 2008 to select the very best early career postdoctoral researchers from all over the world, and enable them to work at UK research institutions for two years. The scheme is offered by the Royal Society, British Academy and Academy of Medical Sciences. Subjects covered: Physical sciences, natural sciences, social sciences, and the humanities. Eligible applicants for these disciplines can apply from any country outside the UK."</t>
  </si>
  <si>
    <t>National Institutes of Health</t>
  </si>
  <si>
    <t>Team-Based Design in Biomedical Engineering Education (R25)</t>
  </si>
  <si>
    <t>Sciences
Engineering</t>
  </si>
  <si>
    <t>"The over-arching goal of this NIBIB-NICHD R25 program is to support educational activities that complement and/or enhance the training of a workforce to meet the nation’s biomedical, behavioral and clinical research needs.  This FOA encourages applications from institutions that propose to establish new or to enhance existing team-based design courses or programs in undergraduate Biomedical Engineering departments or other degree-granting programs with Biomedical Engineering tracks/minors. This FOA mainly targets undergraduate students but may also include first-year graduate students. Courses and programs that address innovative and/or ground-breaking development, multidisciplinary/interdisciplinary education, the regulatory pathway and other issues related to the commercialization of medical devices, and clinical immersion are especially encouraged."</t>
  </si>
  <si>
    <t>Harvard University</t>
  </si>
  <si>
    <t>Huntington Prize</t>
  </si>
  <si>
    <t>"Students and friends of Samuel P. Huntington (1927–2008) have established a prize in the amount of $10,000 for the best book published each year in the field of national security. The book can be a work of history or political science, or a work by a practitioner of statecraft."</t>
  </si>
  <si>
    <t>Gladys Brooks Foundation</t>
  </si>
  <si>
    <t>Gladys Brooks Foundation Grant</t>
  </si>
  <si>
    <t>general</t>
  </si>
  <si>
    <t>$50,000-$100,000</t>
  </si>
  <si>
    <t xml:space="preserve">“Grant applications will be considered generally for resource endowments (print, film, electronic database, speakers/workshops) capital construction and innovative equipment. Projects fostering broader public access to global information sources utilizing collaborative efforts, pioneering technologies and equipment are encouraged.”
The Foundation has recorded 29 grants to 23 recipients on tax forms (2012-2016) that fall under the category of higher education and libraries.  They range from $10,000 to $250,000.  Most have no description of purpose. 
Columbia has received two—one for $25,000 with no description available and another for $250,000 for a “medical and graduate program building.” 
Relevant grants:
$200,000 in 2015 to University of Notre Dame for “Endowment for Preservation &amp; Conservation of Special Collections”
$100,000 in 2012 to Georgetown University for “library endowment”
$100,000 in 2012 to New York University for “library technology”
$50,000 in 2012 to Mount Washington Observatory for “library artifacts display”
Other purposes include for technology, equipment, and furniture, an endowment for a history lecture series, and endowed scholarships
</t>
  </si>
  <si>
    <t>Horatio Alger Fellowship for the Study of American Popular Culture</t>
  </si>
  <si>
    <t>"Funding is available to scholars who will be using materials from the Libraries’ major holdings in American popular culture. These holdings include the Albert Johannsen and Edward T. LeBlanc Collections of more than 50,000 dime novels, and the nation’s preeminent collections related to Horatio Alger, Jr., and Edward Stratemeyer. Eligible collections also include our comic book, science fiction and fantasy literature, and American Popular Literature Collections. Topics which could draw on the collections’ strengths might include the plight of urban children, image of the American West in popular literature, widespread use of pseudonyms, and stereotypical portrayals. Preference will be given to applicants who signify an interest in conducting research related to Horatio Alger, Jr."</t>
  </si>
  <si>
    <t>Lydia Cabrera Awards</t>
  </si>
  <si>
    <t>"Lydia Cabrera Awards are available to support the study of Cuba between 1492 and 1868. Awards are designed specifically to support:
1) original research on Cuban history in Spanish, Mexican, and U. S. archives;
2) the publication of meritorious books on Cuba currently out of print; and
3) the publication of historical statistics, historical documents, and guides to Spanish archives relating to Cuban history between 1492 and 1868."</t>
  </si>
  <si>
    <t>The Michael G. Karni Scholarship</t>
  </si>
  <si>
    <t>History</t>
  </si>
  <si>
    <t>"The Michael G. Karni Scholarship supports visiting professors, lecturers, or graduate students from the United States or abroad using the archival sources of the University of Minnesota’s Immigration History Research Center Archives (IHRC Archives), with first preference on projects using the Finnish American collection and second preference on project using the Baltic collections (i.e., Estonian, Latvian, Lithuanian)."</t>
  </si>
  <si>
    <t>higher ed</t>
  </si>
  <si>
    <t>Project Grants</t>
  </si>
  <si>
    <t>*No new DEADLINE as of 3.3.21*                                                                                 The Wabash Center understands its grant projects as learning processes. Thus, as in other learning processes, a particular grant will design moments of exploration, discovery, learning, and response for those participating in the grant project. In building a grant project, the project director should think of the presenting pedagogical issue as that which needs exploration and interrogation, and the activities of the grant project as the means by which this exploration is done. The design should have an appropriate scaffold to facilitate learning and critical reflection, with moments of assessment built into the design so changes can be made, if necessary. It should also have a time of evaluative reflection at the end to assess what was learned during the course of the project.</t>
  </si>
  <si>
    <t>Spencer Foundation</t>
  </si>
  <si>
    <t>Large Research Grants</t>
  </si>
  <si>
    <t>“The Large Research Grants on Education Program supports education research projects that will contribute to the improvement of education, broadly conceived, with budgets ranging from $125,000 to $500,000 for projects ranging from one to five years. This program is “field-initiated” in that proposal submissions are not in response to a specific request for a particular research topic, discipline, design, method, or location. Our goal for this program is to support rigorous, intellectually ambitious and technically sound research that is relevant to the most pressing questions and compelling opportunities in education.”</t>
  </si>
  <si>
    <t>Small Research Grant</t>
  </si>
  <si>
    <t>&lt;$50,000</t>
  </si>
  <si>
    <t>The Small Research Grants Program supports education research projects that will contribute to the improvement of education, broadly conceived, with budgets up to $50,000 for projects ranging from one to five years. We accept applications three times per year.</t>
  </si>
  <si>
    <t>New Civics Small Grant Program</t>
  </si>
  <si>
    <t>Social Sciences
Education</t>
  </si>
  <si>
    <t>General Research Grants</t>
  </si>
  <si>
    <t>The grants for research projects involve, depending on the type of project, the assumption of costs for personnel, travel, materials and/or other costs.
Project staff on research projects may only be financed by PhD or research grants. A fundamental prerequisite for a grant is that project staff conduct their own research, which is published under their name. The simultaneous receipt of salary or retirement pension and a research scholarship is not possible.
The period of support for Foundation stipend holders working on Ph.D. or research projects can be extended by up to 12 months if the holder becomes a parent during the period covered by the stipend and has an entitlement to maternity or parental leave. Individual arrangements must be discussed with the Foundation’s administrative office.</t>
  </si>
  <si>
    <t>Jean D'Alembert Research Chair "Heritage, Cultures and Knowledge"</t>
  </si>
  <si>
    <t>senior</t>
  </si>
  <si>
    <t>This program is “field-initiated” in that proposal submissions are not in response to a specific request for a particular research topic, discipline, design, method, or location. Our goal for this program is to support rigorous, intellectually ambitious and technically sound research that is relevant to the most pressing questions and compelling opportunities in education.</t>
  </si>
  <si>
    <t>Rita Allen Foundation</t>
  </si>
  <si>
    <t>Science
Biomedical research</t>
  </si>
  <si>
    <t>*No new DEADLINE as of 7.15.21*
"The Rita Allen Foundation currently makes grants for charitable purposes in two primary domains:
Investing in young leaders in science and social innovation
Promoting civic literacy and engagement
Within these domains, the Foundation identifies organizations for funding based on its goals and strategies. While the vast majority of our grant making is conducted through the Rita Allen Foundation Scholars program and through the Foundation’s research and consultation with sector experts, we also provide an opportunity for nonprofit organizations to submit unsolicited Letters of Inquiry if they believe they are an excellent fit for our portfolio. This process allows us to open lines of communication with a diverse pool of organizations."</t>
  </si>
  <si>
    <t>Culture of Health Proposals</t>
  </si>
  <si>
    <t>Sciences
health</t>
  </si>
  <si>
    <t>"Achieving racial equity and health equity in American communities requires effective solutions to the "wrong-pocket problem": we invest in systems that are designed to improve social and economic conditions—such as housing, transportation, education, income, and employment assistance; child and family supports; and legal and criminal justice services—but the financial benefits of these often flow elsewhere, in reduced costs for medical care from diseases and injuries prevented...This call for proposals (CFP) will provide funding for new research to rigorously test and evaluate innovative solutions to the wrong-pocket problem that persists across health and social service systems."</t>
  </si>
  <si>
    <t>Biomedical Science</t>
  </si>
  <si>
    <t xml:space="preserve"> "The Vilcek Foundation will award three prizes of $50,000 each to young foreign-born biomedical scientists who demonstrate outstanding early achievement. Eligible work may be in basic, applied, and/or translational biomedical science."</t>
  </si>
  <si>
    <t>Prizes for Creative Promise</t>
  </si>
  <si>
    <t>Sciences
Health and medicine</t>
  </si>
  <si>
    <t>"The Vilcek Prizes for Creative Promise were established in 2009 as a complement to the Vilcek Prizes, to encourage and support young immigrants who have already demonstrated exceptional achievements, and who often face significant challenges early in their careers. As with the Vilcek Prizes, the Creative Promise Prizes are awarded annually in biomedical science and in a changing category of the arts, next year recognizing accomplishments in the field of architecture.... Applications are now open for next year's Creative Promise Prizes in Biomedical Science and Culinary Arts."</t>
  </si>
  <si>
    <t>Scholar's Grant</t>
  </si>
  <si>
    <t>$1,500-$3,500</t>
  </si>
  <si>
    <t>"The CHNY Scholar’s Grant promotes research and scholarship in the field of culinary history and is awarded annually to individuals seeking financial support for a current, well-developed project that will culminate in a book, article, paper, film, or other scholarly endeavor, including ephemera. The grants are unrestricted and can be used to defray research expenses, attend conferences, or engage in other activities related to the applicant’s project."</t>
  </si>
  <si>
    <t>The Humanities Collection and Research Grant</t>
  </si>
  <si>
    <t>Humanities</t>
  </si>
  <si>
    <t>$50,000-350,000</t>
  </si>
  <si>
    <t>“The Humanities Collections and Reference Resources program supports projects that provide an essential underpinning for scholarship, education, and public programming in the humanities. Thousands of libraries, archives, museums, and historical organizations across the country maintain important collections of books and manuscripts, photographs, sound recordings and moving images, archaeological and ethnographic artifacts, art and material culture, and digital objects. This program strengthens efforts to extend the life of such materials and make their intellectual content widely accessible, often through the use of digital technology. Awards are also made to create various reference resources that facilitate use of cultural materials, from works that provide basic information quickly to tools that synthesize and codify knowledge of a subject for in-depth investigation.”</t>
  </si>
  <si>
    <t>WCC Rising Star Award</t>
  </si>
  <si>
    <t>A&amp;H
Creative Arts
Architecture</t>
  </si>
  <si>
    <t>early career
mid career</t>
  </si>
  <si>
    <t>room &amp; board</t>
  </si>
  <si>
    <t>"Art Omi has five distinct residency programs. Through a competitive jury process, residents are chosen, invited to attend at no cost to themselves, except travel. Abundant, catered meals and comfortable, beautiful lodgings are provided in a scenic location in Columbia County, New York. Art Omi is two hours north of New York City by train." ... The Art Omi:  Architecture "residency is first of its kind in the nation, inviting 10 early- to mid-career architects from around the world to develop their work during a full two-week residency on Omi's campus. Art Omi: Architecture aims to nurture experimentation at the intersection of architecture, art and landscape."</t>
  </si>
  <si>
    <t>Research and Development in Forensic Science for Criminal Justice Purposes</t>
  </si>
  <si>
    <t>General
Race studies</t>
  </si>
  <si>
    <t>"An NIJ forensic science research and development grant supports a discrete, specified, circumscribed project that will 1) Increase the body of knowledge to guide and inform forensic science policy and practice; or 2) Lead to the production of useful material(s), device(s), system(s), or method(s) that have the potential for forensic application."</t>
  </si>
  <si>
    <t>Research on the Impact of Public Policy on Racial and Ethnic Disparities in the Justice System, Fiscal Year 2021</t>
  </si>
  <si>
    <t>Social Science
Political Science</t>
  </si>
  <si>
    <t>"With this solicitation, NIJ seeks applications for funding of investigator-initiated proposals for evidence-based, nonpartisan analyses of existing evidence to examine how observed racial and ethnic disparities in the justice system might be reduced through public policy. NIJ seeks applications in two categories; 1) Research to Identify Policy Interventions, and 2) Secondary Analysis of Data from Relevant Existing Studies."</t>
  </si>
  <si>
    <t>mid-career and established</t>
  </si>
  <si>
    <t>&lt;50% salary</t>
  </si>
  <si>
    <t>"The Russell Sage Foundation's Visiting Scholars Program provides a unique opportunity for select scholars in the social, economic and behavioral sciences to pursue their research and writing while in residence at the Foundation’s New York headquarters. Research carried out by Visiting Scholars constitutes an important part of the Foundation’s ongoing effort to analyze and understand the complex and shifting nature of social and economic life in the United States. While Visiting Scholars typically work on projects related to the Foundation’s current programs, a few scholars whose research falls outside these areas are occasionally invited as well. Descriptions of our prior Visiting Scholar classes along with summaries of their projects attest to the diversity of scholars, disciplines and projects selected."</t>
  </si>
  <si>
    <t>Dynamic Language Infrastructure</t>
  </si>
  <si>
    <t>The Dynamic Language Infrastructure – Documenting Endangered Languages (DLI-DEL) Fellowships are offered as part of a joint, multi-year funding program of NEH and the National Science Foundation (NSF) to develop and advance scientific and scholarly knowledge concerning endangered human languages.
Addressing the imminent loss of linguistic knowledge is a major concern and a priority for both agencies. The broad range of human languages are vital for understanding human behavior and cognition, but roughly half of the world's seven thousand languages are endangered and at risk of extinction. These endangered languages constitute an irreplaceable resource, not only for the communities who speak them, but also for scientists and scholars.
DLI-DEL Fellowships support individuals who are junior or senior linguists, linguistic anthropologists, and sociolinguists to conduct research on one or more endangered or moribund languages. DLI-DEL Fellowships prioritize scholarly analysis and publication, including but not limited to lexicons, grammars, databases, peer-reviewed articles, and monographs. Awards also support fieldwork and other activities relevant to digital recording, documenting, and sustainable archiving of endangered languages.</t>
  </si>
  <si>
    <t>Digital Projects for the Public</t>
  </si>
  <si>
    <t xml:space="preserve">The Digital Projects for the Public program supports projects that interpret and analyze humanities content in primarily digital platforms and formats, such as websites, mobile applications and tours, interactive touch screens and kiosks, games, and virtual environments. 
All Digital Projects for the Public projects should 
present analysis that deepens public understanding of significant humanities ideas; 
incorporate sound humanities scholarship; 
involve humanities scholars in all phases of development and production; 
include appropriate digital media professionals; 
reach a broad public through a realistic plan for development, marketing, and distribution; 
create appealing digital formats for the general public; and 
demonstrate the capacity to sustain themselves. 
All projects should demonstrate the potential to attract a broad, general, nonspecialist audience, either online or in person at venues such as museums, libraries, or other cultural institutions. Applicants may also choose to identify particular communities and groups, including students, to whom a project may have particular appeal. </t>
  </si>
  <si>
    <t>Institute for Advanced Topics in Digital Humanities</t>
  </si>
  <si>
    <t>The Institutes for Advanced Topics in the Digital Humanities program supports national or regional (multistate) training programs for scholars, humanities professionals, and graduate students to broaden and extend their knowledge of digital humanities.  Through this program, NEH seeks to increase the number of humanities scholars and practitioners using digital technology in their research and to broadly disseminate knowledge about advanced technology tools and methodologies relevant to the humanities.
There is wide latitude in the form and content of institutes. They may focus on a particular computational method, such as network or spatial analysis, or target the needs of a particular humanities discipline or audience. They could be offered only once or offered multiple times to different audiences. They may be as short as a few days or as long as six weeks, held at a single site, multiples sites, or virtually, but the format and duration of a program should allow for full and thorough treatment of the topic and be appropriate for the intended audience. Institutes could be scheduled before or after regularly occurring scholarly meetings, during the summer months, or during appropriate times of the academic year.</t>
  </si>
  <si>
    <t>"Digital Humanities Advancement Grants (DHAG) support digital projects throughout their lifecycles, from early start-up phases through implementation and long-term sustainability. Experimentation, reuse, and extensibility are hallmarks of this grant category, leading to innovative work that can scale to enhance research, teaching, and public programming in the humanities.
This program is offered twice per year. Proposals are welcome for digital initiatives in any area of the humanities.
Through a special partnership, the Institute of Museum and Library Services (IMLS) anticipates providing additional funding to this program to encourage innovative collaborations between museum or library professionals and humanities professionals to advance preservation of, access to, use of, and engagement with digital collections and services."</t>
  </si>
  <si>
    <t xml:space="preserve"> "Each year the National Endowment for Democracy (NED) makes direct grants to hundreds of nongovernmental organizations worldwide working to advance democratic goals and strengthen democratic institutions."
"NED is interested in proposals from local, independent organizations for nonpartisan programs that seek to:
Promote and defend human rights and the rule of law
Support freedom of information and independent media
Strengthen democratic ideas and values
Promote accountability and transparency
Strengthen civil society organizations
Strengthen democratic political processes and institutions
Promote civic education
Support democratic conflict resolution
Promote freedom of association
Strengthen a broad-based market economy"</t>
  </si>
  <si>
    <t>Pare Lorentz Documentary Fund</t>
  </si>
  <si>
    <t>$15,000-$25,000</t>
  </si>
  <si>
    <t xml:space="preserve"> "The Pare Lorentz Documentary Fund supports full-length documentary films that reflect the spirit and nature of Pare Lorentz's work, exhibiting objective research, artful storytelling, strong visual style, high production values, artistic writing, and outstanding music composition, as well as skillful direction, camerawork and editing."</t>
  </si>
  <si>
    <t>Exchange Grants</t>
  </si>
  <si>
    <t>Creative Arts
Theater</t>
  </si>
  <si>
    <t>*No new DEADLINE as of 5.21.21* 
"Builds on a prior relationship or deepen an existing relationship, in order to go deeper into a technique or methodology, follow a mutual interest, build a shared work, present a performance, approaches to shared or rotating leadership, training in consensus decision-making, use of non-traditional structures, etc. Exchange Grants are designed to allow lead applicants and partners to take financial risks, to explore something beyond what they are already doing, and/or to more fully capitalize collaborations. Applications are to be written and submitted jointly by two or more partners."</t>
  </si>
  <si>
    <t>Area and Regional Studies</t>
  </si>
  <si>
    <t xml:space="preserve">*No new DEADLINE as of 3/31/21*                                                                                      "The Institute of Commonwealth Studies is the only postgraduate academic institution in the United Kingdom devoted to the study of the Commonwealth. Its purpose is to promote inter-disciplinary and inter-regional research on the Commonwealth and its member nations in the fields of history, politics, economics and other social sciences, and in subjects like development, environment, health, migration, class, race, and literature." </t>
  </si>
  <si>
    <t xml:space="preserve">Young Investigators’ Research Grants, Human Frontier Science Program </t>
  </si>
  <si>
    <t>"The HFSP supports novel, innovative and interdisciplinary basic research focused on the complex mechanisms of living organisms; topics range from molecular and cellular approaches to systems and cognitive neuroscience and the interactions between organisms. A clear emphasis is placed on novel collaborations that bring biologists together with scientists from fields such as physics, mathematics, chemistry, computer science and engineering to focus on problems at the frontier of the life sciences. "</t>
  </si>
  <si>
    <t>Early Career Award for Public Engagement with Science</t>
  </si>
  <si>
    <t>*No new DEADLINE as of 3.17.21*                                                                                       "The AAAS Early Career Award for Public Engagement with Science, established in 2010, recognizes early-career scientists and engineers who demonstrate excellence in their contribution to public engagement with science activities."</t>
  </si>
  <si>
    <t>"The Annie Jump Cannon Award is for outstanding research and promise for future research by a postdoctoral woman researcher. It is given to a North American female astronomer within five years of receiving her PhD in the year designated for the award. The Cannon Award includes an honorarium of $1,500 and an invitation to give an invited talk at a meeting of the AAS, for which travel expenses will be paid."</t>
  </si>
  <si>
    <t>Community Recognition Grants</t>
  </si>
  <si>
    <t>project
program</t>
  </si>
  <si>
    <t>&lt;$2,000</t>
  </si>
  <si>
    <t>OTHER DEADLINE January 15                                                                                              "The American Chemical Society recognizes activities at the community level and provides grants to support programs that advance the public’s understanding of chemistry."</t>
  </si>
  <si>
    <t>Sciences
astronomy, chemistry, physics</t>
  </si>
  <si>
    <t>$100,000/3 years</t>
  </si>
  <si>
    <t>"The Cottrell Scholar Award (CSA) is available to early career faculty at US research universities and primarily undergraduate institutions. Eligible applicants are tenure-track faculty members whose primary appointment is in a department of astronomy, chemistry or physics that offers, the minimum, a bachelor’s degree. For the 2020 proposal cycle, eligibility is limited to faculty members who started their first tenure-track appointment anytime in calendar year 2017."</t>
  </si>
  <si>
    <t>William T. Grant Scholars Program</t>
  </si>
  <si>
    <t>education</t>
  </si>
  <si>
    <t>$350,000/ 5 years</t>
  </si>
  <si>
    <t>"The William T. Grant Scholars Program supports career development for promising early-career researchers. The program funds five-year research and mentoring plans that significantly expand junior researchers’ expertise in new disciplines, methods, and content areas. We recognize that early-career researchers are rarely given incentives or support to take such risks, so this award includes a mentoring component, as well as an emphasis on community and collaboration.... We fund research that increases understanding in one of our two focus areas: programs, policies, and practices that reduce inequality in youth outcomes, and strategies to improve the use of research evidence in ways that benefit youth. We seek research that builds stronger theory and empirical evidence in these two areas. We intend for the research we support to inform change. While we do not expect that any one study will create that change, the research should contribute to a body of useful knowledge to improve the lives of young people." "This career development program supports promising early-career researchers with interests in reducing inequality or understanding the use of research evidence."</t>
  </si>
  <si>
    <t>Media Arts Grants</t>
  </si>
  <si>
    <t xml:space="preserve">"The National Endowment for the Arts is committed to support activities that reflect the dynamic, diverse, and evolving nature of the media arts field. Applicants may apply in this Art Works category for media arts projects that support creation, exhibition, education, and distribution of historic and contemporary artworks in all genres and forms that use electronic media, film and technology (analog &amp; digital; old and new) as an artistic medium or a medium to broaden arts appreciation and awareness (of any discipline). All genres are welcome to apply; all phases of project support are eligible."
Projects eligible for 7/12/18 deadline include creation, education, and resources for artistic and professional development.  
Projects eligible for 2/15/18 deadline include exhibition, presentation, distribution, and preservation activities. </t>
  </si>
  <si>
    <t>Grants for Arts Projects</t>
  </si>
  <si>
    <t>"These grants support arts projects that use the arts to unite and heal in response to current events; celebrate our creativity and cultural heritage; invite mutual respect for differing beliefs and values; and enrich humanity. Applicants may request cost share/matching grants ranging from $10,000 to $100,000. Designated local arts agencies eligible to subgrant may request from $10,000 to $150,000 for subgranting programs in the Local Arts Agencies discipline. A minimum cost share/match equal to the grant amount is required."</t>
  </si>
  <si>
    <t>Science of Learning</t>
  </si>
  <si>
    <t>OTHER DEADLIENE:  January 19
"The Science of Learning program supports potentially transformative basic research to advance the science of learning. The goals of the SL Program are to develop basic theoretical insights and fundamental knowledge about learning principles, processes and constraints. Projects that are integrative and/or interdisciplinary may be especially valuable in moving basic understanding of learning forward but research with a single discipline or methodology is also appropriate if it addresses basic scientific questions in learning.   The possibility of developing connections between proposed research and specific scientific, technological, educational, and workforce challenges will be considered as valuable broader impacts, but are not necessarily central to the intellectual merit of proposed research. The program will support  research addressing learning in a wide range of domains at one or more levels of analysis including: molecular/cellular mechanisms; brain systems; cognitive affective, and behavioral processes; and social/cultural influences. The program supports a variety of methods including: experiments, field studies, surveys, secondary-data analyses, and modeling."</t>
  </si>
  <si>
    <t>&lt;7 years postdoc</t>
  </si>
  <si>
    <t>$5,000/month for 4-11 months</t>
  </si>
  <si>
    <t>*No new DEADLINE as of 3.17.21*                                                                                       "The John W. Kluge Center at the Library of Congress invites qualified scholars to conduct research at the Kluge Center using the Library of Congress collections and resources for a period of four to eleven months....
The Kluge Center especially encourages humanistic and social science research that makes use of the Library's large and varied collections. Interdisciplinary, cross-cultural, or multi-lingual research is particularly welcome. Among the collections available to researchers are the world's largest law library and outstanding multi-lingual collections of books and periodicals. Deep special collections of manuscripts, maps, music, films, recorded sound, prints and photographs are also available."</t>
  </si>
  <si>
    <t>Social Psychology</t>
  </si>
  <si>
    <t xml:space="preserve">Other annual deadline of 1/15
“The Social Psychology Program at NSF supports basic research on human social behavior, including cultural differences and development over the life span. 
Among the many research topics supported are: attitude formation and change, social cognition, personality processes, interpersonal relations and group processes, the self, emotion, social comparison and social influence, and the psychophysiological and neurophysiological bases of social behavior.”
</t>
  </si>
  <si>
    <t>Other annual deadline of 1/15
"DS supports research that addresses developmental processes within the domains of cognitive, social, emotional, and motor development across the lifespan by working with any appropriate populations for the topics of interest including infants, children, adolescents, adults, and non-human animals. The program also supports research investigating factors that affect developmental change including family, peers, school, community, culture, media, physical, genetic, and epigenetic influences. Additional priorities include research that: incorporates multidisciplinary, multi-method, microgenetic, and longitudinal approaches; develops new methods, models, and theories for studying development; includes participants from a range of ethnicities, socioeconomic backgrounds, and cultures; and integrates different processes (e.g., memory, emotion, perception, cognition), levels of analysis (e.g., behavioral, social, neural), and time scales."</t>
  </si>
  <si>
    <t>Linguistics</t>
  </si>
  <si>
    <t>Other annual deadline of 1/15
"The Linguistics Program supports basic science in the domain of human language, encompassing investigations of the grammatical properties of individual human languages, and of natural language in general. Research areas include syntax, semantics, morphology, phonetics, and phonology.
The program encourages projects that are interdisciplinary in methodological or theoretical perspective, and that address questions that cross disciplinary boundaries, such as (but not limited to):
What are the psychological processes involved in the production, perception, and comprehension of language?
What are the computational properties of language and/or the language processor that make fluent production, incremental comprehension or rapid learning possible?
How do the acoustic and physiological properties of speech inform our theories of natural language and/or language processing?
What role does human neurobiology play in shaping the various grammatical properties of language? 
How does language develop in children?
What social and cultural factors underlie language variation and change?"</t>
  </si>
  <si>
    <t>Grants</t>
  </si>
  <si>
    <t>"Stonewall grants strengthen the community. We invest in dynamic organizations, projects, and leaders that elevate LGBTQ people and our cultural contributions, advance our rights, and promote our wellness, safety, and liberation."</t>
  </si>
  <si>
    <t>Biological Anthropology</t>
  </si>
  <si>
    <t>Other annual deadline of 1/20
"The Biological Anthropology Program supports basic research in areas related to human evolution and contemporary human biological variation. Research areas supported by the program include, but are not limited to, human genetic variation, human and nonhuman primate ecology and adaptability, human osteology and bone biology, human and nonhuman primate paleontology, functional anatomy, and primate socioecology. Grants supported in these areas are united by an underlying evolutionary framework, and often by a consideration of adaptation as a central theoretical theme. Proposals may also have a biocultural or bioarchaeological orientation. The program frequently serves as a bridge within NSF between the social and behavioral sciences and the natural and physical sciences, and proposals commonly are jointly reviewed and funded with other programs."</t>
  </si>
  <si>
    <t>Faculty Early Career Development Program (CAREER), BIO, CISE, HER</t>
  </si>
  <si>
    <t>"A Foundation-wide activity that offers the National Science Foundation's most prestigious awards in support of early-career faculty who have the potential to serve as academic role models in research and education and to lead advances in the mission of their department or organization. Activities pursued by early-career faculty should build a firm foundation for a lifetime of leadership in integrating education and research."</t>
  </si>
  <si>
    <t>Up to $175,000</t>
  </si>
  <si>
    <t>*No new DEADLINE as of 7.20.21*                                                                                       “The Russell Sage Foundation/Carnegie Corporation Initiative on Immigration and Immigrant Integration seeks to support innovative research on the effects of race, citizenship, legal status and politics, political culture and public policy on outcomes for immigrants and for the native-born of different racial and ethnic groups and generations. This initiative falls under RSF’s Race, Ethnicity, and Immigration Program and represents a special area of interest within the core program, which continues to encourage proposals on a broader set of issues.”</t>
  </si>
  <si>
    <t>Social, Political, Economic, and Psychological Consequences of the COVID-19 Pandemic</t>
  </si>
  <si>
    <t>" We are particularly interested in research on the effects of the crisis on vulnerable populations and how they were shaped by both the increased inequalities of the last several decades and the differential effects of federal, state, and local policies implemented in response to the pandemic. We are also interested in how the resulting circumstances and outcomes might influence governments to better anticipate and respond to future crises."</t>
  </si>
  <si>
    <t>Fellowship in libraries and archives</t>
  </si>
  <si>
    <t>"Gilder Lehrman fellowships support research at archives in New York City.
The Institute provides annual short-term research fellowships in the amount of $3000 each to doctoral candidates, college and university faculty at every rank, and independent scholars working in the field of American history."</t>
  </si>
  <si>
    <t>National Heritage Fellows</t>
  </si>
  <si>
    <t>Lifetime</t>
  </si>
  <si>
    <t>"For the past 35 years, the National Endowment for the Arts has honored our nation’s master folk and traditional artists with the National Heritage Fellowship. This lifetime achievement award recognizes the ways these individuals demonstrate and reflect our nation’s living cultural heritage and the efforts of these artists to share their knowledge with the next generation. The NEA National Heritage Fellowships celebrate the vitality of America’s folk and traditional arts, supporting ethnic and cultural diversity as a strength national of character."</t>
  </si>
  <si>
    <t>Humanities Research Centre Visiting Fellowships</t>
  </si>
  <si>
    <t>$3,000 AUD</t>
  </si>
  <si>
    <t xml:space="preserve"> "As a core part of its mission, throughout the year the HRC welcomes several visiting fellows from around the world pursuing research projects in the Humanities. The HRC interprets the ‘Humanities’ generously. As well as supporting scholarship in traditional Humanities disciplines, its visiting fellowship programs encourage and support interdisciplinary and comparative research both within and beyond the Humanities. As members of the scholarly community at the HRC, visiting fellows make valuable contributions to its intellectual life, and to the intellectual life of the broader university community.
Each year, a theme is chosen which inspires and informs research activity within the HRC."</t>
  </si>
  <si>
    <t>*No new DEADLINE as of 3.17.21*                                                                                       "The Logan Nonfiction Program seeks to address the public’s need for longform nonfiction to inform the policy debate essential to democracy.... 
Logan Nonfiction fellows at the Carey Institute are provided all the necessary tools to complete their critical work. Lodging, work space, sophisticated technological support (including Wi-Fi, a state-of-the-art screening room and dedicated space, equipment and software for video, film and radio editing) and meals are provided. Fellows may also benefit from the mentorship of several board members and internationally renowned journalists.
We also help selected print fellows convert their work into audio, video or digital media through the expertise of our partners. The Institute is eager to convene issue-oriented conferences related  to our fellows’ projects to bring their reporting to policy-makers and other experts."</t>
  </si>
  <si>
    <t>up to $500,000/year for 3 years</t>
  </si>
  <si>
    <t>The Focus Grant for Short-Term Risk is open to innovative, potentially high-yield proposals that focus on short-term risk for suicide.</t>
  </si>
  <si>
    <t>evaluation</t>
  </si>
  <si>
    <t>"Evaluate the effectiveness of programs designed to promote positive cognitive and/or achievement outcomes for children (birth through 18 years) from underserved groups and/or low-resourced communities (minority ethnic groups, low-income families)."</t>
  </si>
  <si>
    <t>Harry Frank Guggenheim Foundation</t>
  </si>
  <si>
    <t>$15,000-$40,000</t>
  </si>
  <si>
    <t>"The foundation welcomes proposals from any of the natural and social sciences and the humanities that promise to increase understanding of the causes, manifestations, and control of violence and aggression. Highest priority is given to research that can increase understanding and amelioration of urgent problems of violence and aggression in the modern world. Questions that interest the foundation concern violence and aggression in relation to social change, intergroup conflict, war, terrorism, crime, and family relationships, among other subjects."</t>
  </si>
  <si>
    <t>American Academy of Religion</t>
  </si>
  <si>
    <t>Individual Research Grant</t>
  </si>
  <si>
    <t>$500-$5000</t>
  </si>
  <si>
    <t>“Individual research grants provide support for important aspects of research, such as fieldwork or travel to archives and libraries. Funds are not provided for dissertation research, research assistance, stipends, released time, publication expenses, or travel to attend the AAR Annual Meeting. Grants range from $500 to $5000. Please read the Frequently Asked Questions for additional information. You can also view a list of past winners.”\</t>
  </si>
  <si>
    <t xml:space="preserve">Perception, Action &amp; Cognition </t>
  </si>
  <si>
    <t>OTHER DEADLINE 2/1/22
"The PAC program funds theoretically motivated research on a wide-range of topic areas related to typical human behavior with particular focus on perceptual, motor, and cognitive processes and their interactions. Central research topics for consideration by the program include (but are not limited to) vision, audition, haptics, attention, memory, written and spoken language, spatial cognition, motor control, categorization, reasoning, and concept formation. Of particular interest are emerging areas, such as the interaction of sleep or emotion with cognitive or perceptual processes, epigenetics of cognition, computational models of cognition, and cross-modal and multimodal processing. The program welcomes a wide range of perspectives, such as individual differences, symbolic and neural-inspired computation, ecological approaches, genetics and epigenetics, nonlinear dynamics and complex systems, and a variety of methodologies spanning the range of experimentation and modeling."</t>
  </si>
  <si>
    <t xml:space="preserve">Sciences
Environmental Biology </t>
  </si>
  <si>
    <t>Annnual deadline of first Monday in August
"The OPUS program seeks to provide opportunities for mid- to later-career investigators to develop new understanding of science in the fields supported by the Division of Environmental Biology (DEB) through two tracks of synthesis activities.
OPUS: Mid-Career Synthesis. This track provides an opportunity for a mid-career researcher, defined as a candidate at the associate professor rank (or equivalent) to enable a new synthesis of their ongoing research. Synthesis is achieved by developing new research capabilities through collaboration with a mentor to enable new understanding of their research system and questions of interest. This track aims to provide mid-career scientists with new capabilities to enhance their productivity, improve their retention as scientists, and ensure a diverse scientific workforce that remains engaged in active research (including more women and minorities at high academic ranks).
OPUS: Core Research Synthesis. This track provides an opportunity for an individual or a group of investigators to revisit and synthesize a significant body of their prior research in a way that will enable new understanding of their research system and questions of interest. This track would also be appropriate early enough in a career to produce unique, integrated insight useful both to the scientific community and to the development of the investigator's future career.
All four clusters within the Division of Environmental Biology (Ecosystem Science, Evolutionary Processes, Population and Community Ecology, and Systematics and Biodiversity Science) encourage the submission of these proposals enabling researchers to expand understanding and develop new insights in their research."</t>
  </si>
  <si>
    <t>"The NSF ADVANCE program contributes to the National Science Foundation's goal of a more diverse and capable science and engineering workforce.1 In this solicitation, the NSF ADVANCE program seeks to build on prior NSF ADVANCE work and other research and literature concerning gender, racial, and ethnic equity. The NSF ADVANCE program goal is to broaden the implementation of evidence-based systemic change strategies that promote equity for STEM2 faculty in academic workplaces and the academic profession."</t>
  </si>
  <si>
    <t>Sciences
Agriculture</t>
  </si>
  <si>
    <t>Research and Education:  "Northeast SARE's Research and Education Grant program funds projects (with or without an applied research component) that result in gains in farmer knowledge and skills applied to make changes that lead to greater sustainability throughout the Northeast region."
Research for Novel Approaches:  "Northeast SARE’s Research for Novel Approaches in Sustainable Agriculture grant program funds projects that conduct applied research leading to the feasibility of new practices and approaches that have high potential for adoption by farmers."</t>
  </si>
  <si>
    <t>A&amp;H
Philosophy &amp; Religion</t>
  </si>
  <si>
    <t>research project</t>
  </si>
  <si>
    <t>$500 to $5000</t>
  </si>
  <si>
    <t>"Collaborative grants are intended to stimulate cooperative research among scholars who have a focus on a clearly identified research project. They may also be used for interdisciplinary work with scholars outside the field of religion, especially when such work shows promise of continuing beyond the year funded. Collaborative project proposals are expected to describe plans for having the results of the funded. Collaborative project proposals are expected to describe plans for having the results of the research published. Grants can provide funds for networking and communication. Funds may also be used to support small research conferences. Conference proposals will be considered only if they are used to support small research conferences. Conference proposals will be considered only if they are designed primarily to advance research."</t>
  </si>
  <si>
    <t>$500-$5,000</t>
  </si>
  <si>
    <t>"To fulfill its commitment to advance research in religion, the AAR each year grants awards  to support projects proposed by AAR members and selected by the AAR Research Grants Jury. These projects can be either collaborative or individual. These grants provide support for important aspects of research such as travel to archives and libraries and field work as well as networking, communication, and small research conferences. "</t>
  </si>
  <si>
    <t xml:space="preserve">Science, Technology, and Society </t>
  </si>
  <si>
    <t xml:space="preserve">August 3, 2018 OTHER DEADLINE
“The Science, Technology, and Society (STS) program supports research that uses historical, philosophical, and social scientific methods to investigate the intellectual, material, and social facets of the scientific, technological, engineering and mathematical (STEM) disciplines. It encompasses a broad spectrum of STS topics including interdisciplinary studies of ethics, equity, governance, and policy issues that are closely related to STEM disciplines, including medical science.” </t>
  </si>
  <si>
    <t>variable</t>
  </si>
  <si>
    <r>
      <rPr>
        <rFont val="Calibri"/>
        <color rgb="FF000000"/>
        <sz val="10.0"/>
      </rPr>
      <t xml:space="preserve">"The Joyce Foundation is a nonpartisan, private charitable foundation that supports evidence-informed policies to improve quality of life, promote safe and healthy communities, and build a just society for the people of the </t>
    </r>
    <r>
      <rPr>
        <rFont val="Calibri"/>
        <b/>
        <color rgb="FF000000"/>
        <sz val="11.0"/>
      </rPr>
      <t>Great Lakes region</t>
    </r>
    <r>
      <rPr>
        <rFont val="Calibri"/>
        <color rgb="FF000000"/>
        <sz val="11.0"/>
      </rPr>
      <t>. Our five program strategies advance five policy areas we see as essential to our mission: Education and Economic Mobility, the Environment, Gun Violence Prevention and Justice Reform, Democracy, and Culture."</t>
    </r>
  </si>
  <si>
    <t>$25,000-$200,000</t>
  </si>
  <si>
    <t>"Organizations may apply for creative placemaking projects that contribute to the livability of communities and through strategies that leverage arts, culture, and/or design toward achieving community goals. Our Town offers support for projects in two areas:
• Arts Engagement, Cultural Planning, and Design Projects that represent the distinct character and quality of their communities. These projects require a partnership between a nonprofit organization and a local government entity, with one of the partners being a cultural organization. Matching grants range from $25,000 to $200,000.
• Projects that Build Knowledge About Creative Placemaking. These projects are available to arts and design service organizations, and industry, policy, or university organizations that provide technical assistance to those doing place-based work."</t>
  </si>
  <si>
    <t>Our Town-Knowledge Building Projects</t>
  </si>
  <si>
    <t xml:space="preserve">Our Town is the National Endowment for the Arts’ creative placemaking grants program. These grants support projects that integrate arts, culture, and design activities into efforts that strengthen communities by advancing local economic, physical, and/or social outcomes. Successful Our Town projects ultimately lay the groundwork for systemic changes that sustain the integration of arts, culture, and design into strategies for strengthening communities.
To apply, choose a program area:
Place-Based Projects. Through arts engagement, cultural planning, design, and/or artist/creative industry support, these projects contribute to improved quality of life in local communities. These projects require a partnership between a nonprofit organization and a local government entity, with one of the partners being a cultural organization. Matching grants range from $25,000 to $200,000, with a minimum cost share/match equal to the grant amount.  
Knowledge Building Projects. These projects build and disseminate knowledge about how to leverage arts, culture, and design as mechanisms for strengthening communities. These grants are available to arts service or design service organizations, and/or other national or regional membership, policy, or university-based organizations. These projects require a partnership that will facilitate the knowledge sharing and/or exchange. Matching grants range from $25,000 to $100,000, with a minimum cost share/match equal to the grant amount.
</t>
  </si>
  <si>
    <t>"The Henry Dreyfus Teacher-Scholar Awards Program supports the research and teaching careers of talented young faculty in the chemical sciences at undergraduate institutions. Based on institutional nominations, the program provides discretionary funding to faculty at an early stage in their careers. The award is based on accomplishment in scholarly research with undergraduates, as well as a compelling commitment to teaching."</t>
  </si>
  <si>
    <t>Individual Fellowships for Senior Fellows (F33)</t>
  </si>
  <si>
    <t>mid-career
experienced</t>
  </si>
  <si>
    <t>August 8 and December 8, 2018, and April 8, 2019  OTHER DEADLINES
"The Ruth L. Kirschstein National Research Service Awards for Senior Fellows (F33) provides up to two years of support for experienced scientists who wish to make major changes in the direction of their research careers or who wish to broaden their scientific background by acquiring new research capabilities. These awards are targeted to individuals with at least seven years of research experience beyond the doctorate, and who have progressed to the stage of independent investigator. In most cases, this award is used to support sabbatical experiences."</t>
  </si>
  <si>
    <t>Cognitive Neuroscience</t>
  </si>
  <si>
    <t xml:space="preserve">"The Cognitive Neuroscience Program seeks highly innovative proposals aimed at advancing a rigorous understanding of the neural mechanisms of human cognition. Central research topics for consideration by the program include attention, learning, memory, decision-making, language, social cognition, and emotions. Proposals with animal models are appropriate only if they include a comparative element with human subjects. Proposals focused on behavioral, clinical or molecular mechanisms will not be considered for this program."   </t>
  </si>
  <si>
    <t>Education
Sciences</t>
  </si>
  <si>
    <t>projects</t>
  </si>
  <si>
    <t xml:space="preserve">“ITEST is a research and development program that supports projects to promote PreK-12 student interests and capacities to participate in the STEM and information and communications technology (ICT) workforce of the future. The ITEST program supports research on the design, development, implementation, and selective spread of innovative strategies for engaging students in technology-rich experiences that: (1) increase student awareness of STEM occupations; (2) motivate students to pursue appropriate education pathways to STEM occupations; or (3) develop disciplinary-based knowledge and practices, or promote critical thinking, reasoning skills, or communication skills needed for entering STEM workforce sectors.  ITEST projects may adopt an interdisciplinary focus that includes multiple STEM disciplines, focus on a single discipline, or focus on one or more sub-disciplines.  The ITEST program supports projects that provide evidence for factors, instructional designs, and practices in formal and informal learning environments that broaden participation of students from underrepresented groups in STEM fields and related education and workforce domains. Projects that actively engage business and industry partners to better ensure that PreK-12 experiences foster the knowledge and skill-sets needed for emerging STEM occupations are strongly encouraged.”  </t>
  </si>
  <si>
    <t>$2,500/one month</t>
  </si>
  <si>
    <t>"Short-Term Fellowships provide opportunities for individuals who have a specific need for the Newberry’s collection. Postdoctoral scholars, PhD candidates, and scholars with terminal degrees who live and work outside of the Chicago metropolitan area are eligible."</t>
  </si>
  <si>
    <t>Cultural Anthropology Senior Research Awards</t>
  </si>
  <si>
    <t>January 15, OTHER DEADLINE 
"The primary objective of the Cultural Anthropology Program is to support fundamental, systematic anthropological research and training to increase understanding of the causes, consequences, and complexities of human social and cultural variability. The Cultural Anthropology Program welcomes proposals from researchers in all sub-fields of cultural anthropology and research at any temporal and spatial scale. Methodologies and approaches employed may include ethnographic field research, surveys, remote sensing, the collection of bio-markers, experimental research inside or outside of laboratory settings, archival research, the analysis of materials collections and extant data bases, mathematical and computational modeling, and other research tools as appropriate for the research proposed. The overarching research goals should be to produce empirically grounded findings that will be generalizable beyond particular case studies and contribute to building a more robust anthropological science of human society and culture."</t>
  </si>
  <si>
    <t>rolling</t>
  </si>
  <si>
    <t>Sociology</t>
  </si>
  <si>
    <t>OTHER DEADLINE January 15                                                                                                "The Sociology Program supports basic research on all forms of human social organization -- societies, institutions, groups and demography -- and processes of individual and institutional change. The Program encourages theoretically focused empirical investigations aimed at improving the explanation of fundamental social processes. Included is research on organizations and organizational behavior, population dynamics, social movements, social groups, labor force participation, stratification and mobility, family, social networks, socialization, gender, race and the sociology of science and technology. The Program supports both original data collections and secondary data analysis that use the full range of quantitative and qualitative methodological tools. Theoretically grounded projects that offer methodological innovations and improvements for data collection and analysis are also welcomed."</t>
  </si>
  <si>
    <t>$10,000-$20,000</t>
  </si>
  <si>
    <t>"The Sociological Initiatives Foundation supports social change by linking research to social action.  It funds research projects that investigate laws, policies, institutions, regulations, and normative practices that may limit equality in the United States.  It gives priority to projects that seek to address racism, xenophobia, classism, gender bias, exploitation, or the violation of human rights and freedoms.  It also supports research that furthers language learning and behavior and its intersection with social and policy questions."</t>
  </si>
  <si>
    <t>OTHER DEADLINES 12/4 and 4/15                                                                           "Recognizing that good policymaking relies on the availability of high-quality research, the foundation invests primarily in scholarship that results in the publication of books, journal articles, and policy papers. Funding is typically provided in the form of research grants, fellowships, and other types of targeted project support.
The Searle Freedom Trust also provides funding for public interest litigation and supports outreach to the public through a variety of forums, including sponsorship of research conferences and seminars, film and journalism projects, and new media initiatives.
With the foundation’s assistance, university and think tank scholars investigate a wide range of issues, including:
· Tax and budget policy
· Cost-benefit analysis of regulatory practices and proposals
· The workings of the legal system
· Environmental policy
· Social welfare reform
· K-12 and higher education policy"</t>
  </si>
  <si>
    <t>*No new DEADLINE as of 5.19.21*                                                                            "The Martin Duberman Visiting Scholar program at The New York Public Library fosters excellence in LGBT studies by providing funds for scholars to do research in the Library’s preeminent LGBT historical collections. The fellowship is open to both academic faculty and independent scholars who have made a significant contribution to the field.... The awardee will be expected to spend a minimum of three months researching at the Library and at other archives relevant to their topic in the New York City area, to give a public talk on their work, and to write a short piece about their project for the Library’s website."</t>
  </si>
  <si>
    <t>Women in Engineering Grant Program</t>
  </si>
  <si>
    <t>$5,000-25,000</t>
  </si>
  <si>
    <t xml:space="preserve"> OTHER DEADLINE February 28
The foundation is looking to fund Programs designed to improve the retention rate of undergraduate women in engineering. These may cover such diverse areas as classroom, climate, learning behaviors, classroom pedagogies and academic and social support programs. It is expected that the programs will examine their impact on SMET achievement. </t>
  </si>
  <si>
    <t>Visiting Research Fellowship Scheme</t>
  </si>
  <si>
    <t>OTHER DEADLINE April 30
"he School of Letters, Art, and Media (SLAM) is offering fellowships for research consisting of a stay of anywhere from 2 weeks to 6 months at the University of Sydney. Successful applicants would be provided with office space, computers, and access to libraries and University facilities. There is no stipend associated with the fellowship and no financial support offered for travel or residential accommodations. Applicants must secure the active support of one or more colleagues in SLAM, who will stand as sponsors for the application."</t>
  </si>
  <si>
    <t>Advanced Grants</t>
  </si>
  <si>
    <t xml:space="preserve">up to 2.5€ million for 5 years </t>
  </si>
  <si>
    <t>" The ERC offers long-term funding for established, leading principal investigators who wish to pursue ground-breaking, high-risk projects. Applicants for the ERC Advanced Grants – called Principal Investigators (PI) – are expected to be active researchers who have a track-record of significant research achievements in the last 10 years. The Principal Investigators should be exceptional leaders in terms of originality and significance of their research contributions. Applications can be made in any field of research and research must be conducted in a public or private host institution. Consolidator grants are designed to support excellent Principal Investigators at the career stage at which they may still be consolidating their own independent research team or programme. Applications can be made in any field of research. The programme encourages proposals of a multi- or interdisciplinary nature."</t>
  </si>
  <si>
    <t>between 3 and 12 months of “full time support”</t>
  </si>
  <si>
    <t>"Applicants are invited to submit proposals for research in the social sciences and related disciplines relevant to any one or any combination of the four themes below. The themes are:
1) Threats to Personal, Societal, and International Security
Especially welcome topics include food, water, and energy insecurity; pandemics; climate change; disaster preparedness, prevention, and recovery; and conflict, terrorism, and cyber security. 
2) Growth and Sustainable Development
Especially welcome topics include global financial stability, trade imbalances and agreements, adjustment to globalization, climate change and adaptation, and poverty and inequality.
3) Social, Scientific, and Cultural Trends and Transformations
Especially welcome topics include aging and other demographic change, benefits and dangers of reproductive genetics, gender and social exclusion, expansion of STEM education among women and under-represented populations, migration, rural depopulation and urbanization, impacts of automation on jobs, poverty and inequality, and community resilience.
4) Governance, Empowerment, and Participation
Especially welcome topics include challenges to democratic institutions, participatory governance, human rights, the changing role of NGO/NPOs, the rise of new media, and government roles in fostering innovation....
Rather than seeking to promote greater understanding of a single country—Japan or the United States—the Abe Fellowship Program encourages research with a comparative or global perspective. The program promotes deeply contextualized cross-cultural research."</t>
  </si>
  <si>
    <t>Art</t>
  </si>
  <si>
    <t>$60,000- $100,000 (Based on grants awarded in 2019)</t>
  </si>
  <si>
    <t xml:space="preserve">OTHER DEADLINE March 1                                                                                                “Grants are made on a project basis to curatorial programs at museums, artists' organizations, and other cultural institutions to originate innovative and scholarly presentations of contemporary visual arts. Projects may include exhibitions, catalogues, and other organizational activities directly related to these areas. The program also supports the creation of new work through regranting initiatives and artist-in-residence programs. The foundation values the contributions of all artists, reflecting the true diversity of the contemporary art field, and encourages proposals that highlight women, artists of color, and under-represented practitioners.”
</t>
  </si>
  <si>
    <t>Digital Art History Grant Program</t>
  </si>
  <si>
    <t>OTHER DEADLINE March 1 
"The Digital Art History Grants program is intended to foster new forms of research and collaboration as well as new approaches to teaching and learning. Support may also be offered for the digitization of important visual resources (especially essential art history photographic archives) in the area of pre-modern European art history; of primary textual sources (especially the literary and documentary sources of European art history); for promising initiatives in online publishing; and for innovative experiments in the field of digital art history."</t>
  </si>
  <si>
    <t>Conservation Grant Program</t>
  </si>
  <si>
    <t>Project/Dissemination</t>
  </si>
  <si>
    <t>OTHER DEADLINES 3/1, 9/1, 12/15
"The Conservation program supports the professional practice of art conservation, especially as it relates to European art of the pre-modern era. Grants are awarded to projects that create and disseminate specialized knowledge, including archival projects, development and dissemination of scholarly databases, documentation projects, exhibitions and publications focusing on art conservation, scholarly publications, and technical and scientifi c studies.
Grants are also awarded for activities that permit conservators and conservation scientists to share their expertise with both professional colleagues and a broad audience through international exchanges, professional meetings, conferences, symposia, consultations, the presentation of research, exhibitions that include a prominent focus on materials and techniques, and other professional events."</t>
  </si>
  <si>
    <t>Resit.</t>
  </si>
  <si>
    <t>Resist Grant</t>
  </si>
  <si>
    <t>General
Social Justice</t>
  </si>
  <si>
    <t>Resist funds groups that:
 Resist. Groups that organize, base build, engage in direct action, and cultural organizing. Groups organize within communities for structural social and economic change. Groups develop tools for consciousness-raising, including popular education and radical pedagogy development.
 Re-imagine. Groups that actively build new systems that provide alternatives to the ones we’re fighting now. These groups live into transformative justice by creating community-based alternatives to dehumanizing or inaccessible institutions and systems. This work might look like: alternatives to policing, urban gardens, cooperative childcare, etc..
 Build Resilience. Groups that are creating through arts and cultural work and all forms of creative resilience building. Groups that are healing through sacred resistance, sustainability, ritual, bodywork, and other embodied healing for communities engaged in the work of liberation.</t>
  </si>
  <si>
    <t>Science of Organizations</t>
  </si>
  <si>
    <t>OTHER DEADLINE February 2
"Organizations -- private and public, established and entrepreneurial, designed and emergent, formal and informal, profit and nonprofit -- are critical to the well-being of nations and their citizens. They are of crucial importance for producing goods and services, creating value, providing jobs, and achieving social goals. The Science of Organizations (SoO) program funds basic research that yields a scientific evidence base for improving the design and emergence, development and deployment, and management and ultimate effectiveness of organizations of all kinds."</t>
  </si>
  <si>
    <t>"The Mathematical Biology Program supports research in areas of applied and computational mathematics with relevance to the biological sciences.  Successful proposals are mathematically innovative and address challenging problems of interest to members of the biological community. 
Some projects of interest to the Mathematical Biology Program may include development of mathematical concepts and tools traditionally seen in other disciplinary programs within the Division of Mathematical Sciences, e.g., topology, probability, statistics, computational mathematics, etc.  To receive appropriate and timely review, such proposals should be submitted directly to the relevant disciplinary program that has the earliest deadline, with other program(s) selected as secondary.  Note that proposals that use established mathematical and computational tools to address problems in the biological sciences are typically not appropriate for submission to DMS."</t>
  </si>
  <si>
    <t>$150,000-$500,000</t>
  </si>
  <si>
    <t>"The purpose of the Focused Research Group activity is to support collaborative groups employing innovative methods to solve specific, major research challenges in the mathematical sciences. A major challenge is an outstanding problem of significant importance that requires the focused and synergistic efforts of a collaborative group to solve, and whose solution will have wide impacts in the mathematical sciences and potentially in other areas. Groups may include, in addition to statisticians and mathematicians, researchers from other science and engineering disciplines appropriate for the proposed research. Risky projects are welcome. Interdisciplinary projects are welcome. Projects should be timely, limited in duration to up to three years, and substantial in their scope and impact for the mathematical sciences. Funded projects that show substantial progress in their first two years may be recommended for a creativity extension for up to an additional two years."</t>
  </si>
  <si>
    <t>"The Division of Earth Sciences (EAR) awards Postdoctoral Fellowships to recent recipients of doctoral degrees to carry out an integrated program of independent research and professional development.  Fellowship proposals must address scientific questions within the scope of EAR disciplines and must align with the overall theme for the postdoctoral program. The program supports researchers for a period of up to two years with fellowships that can be taken to the institution of their choice (including institutions abroad). The program is intended to recognize beginning investigators of significant potential, and provide them with research experience, mentorship, and training that will establish them in leadership positions in the Earth Sciences community."</t>
  </si>
  <si>
    <t>NH Stopping point 3/17</t>
  </si>
  <si>
    <t>Fellowship Programs</t>
  </si>
  <si>
    <t>General
gender studies</t>
  </si>
  <si>
    <t>*Upcoming cycle will be announced in Spring 2021* "As a fellow, you will focus on your individual project while benefiting from a dynamic, multidisciplinary community at Harvard University. Fellows—women and men—are at the forefront of the arts, journalism, humanities, sciences, and social sciences." ... "Applications in all academic disciplines, professions, and creative arts are encouraged, and there are a few areas of special interest: 
Applications related to the broad theme of the human body, which is a one-year initiative across the programs of the Radcliffe Institute 
Applications that involve the study of women, gender, and society, which is a commitment rooted in Radcliffe’s unique history 
Applications that draw on the resources of the Schlesinger Library on the History of Women in America, which is part of the Radcliffe Institute and one of the foremost archives on women’s history 
Applications for the Mellon-Schlesinger Fellowship, part of the broader Long 19th Amendment Project funded by the Andrew W. Mellon Foundation"</t>
  </si>
  <si>
    <t>Arts</t>
  </si>
  <si>
    <t>*No new DEADLINE as of 6.29.21, applications will be available end of June 2021*                                                                                               "Creative Learning is a grant program designed to support and develop the capacity of Manhattan’s teaching artists and small arts organizations to provide in-depth, community-based arts education and enrichment projects and programming to participants of all ages including youth, adults, and/or seniors. The program aims to support effective and innovative approaches to artist-led, age- and skills-appropriate instruction outside of the school setting, as well as education-based approaches to participatory arts projects. Emphasis is placed on quality and depth of the creative process through which participants learn through and about the arts. Creative Learning strongly supports the payment of artist fees."</t>
  </si>
  <si>
    <t>"The Research and Development program supports projects that address major challenges in preserving or providing access to humanities collections and resources. These challenges include the need to find better ways to preserve materials of critical importance to the nation’s cultural heritage—from fragile artifacts and manuscripts to analog recordings and digital assets subject to technological obsolescence—and to develop advanced modes of organizing, searching, discovering, and using such materials."</t>
  </si>
  <si>
    <t>*No new DEADLINE as of 6.29.21, applications will be available end of June 2021*                                                                                                "UMEZ Arts Engagement is a new grant program launched in December 2017 to enhance the diversity and frequency of arts and cultural presentations in Upper Manhattan. The program provides direct support for these activities to Upper Manhattan’s artists and nonprofit arts organizations under the guiding principle that support for artists of diverse disciplines, practices, cultural backgrounds, and career stages contributes to the vibrancy and sustainability of the communities in which they live and work. "</t>
  </si>
  <si>
    <t>*No new DEADLINE as of 6.29.21, applications will be available end of June 2021*                                                                                                   "Creative Engagement is a grant program designed to enable Manhattan’s artists and small nonprofit organizations to access local public funds under the guiding principle that support for artists of diverse disciplines, practices, cultural backgrounds, and career stages contributes to the vibrancy and sustainability of our communities. Creative Engagement aims to support effective and innovative approaches to engaging audiences through projects and programming of strong artistry. Funding is provided for projects in the performing, literary, media, and visual arts, ranging from folk/traditional forms to contemporary and socially-engaged artistic practices. Creative Engagement strongly supports the payment of artist fees."</t>
  </si>
  <si>
    <t>National Endowment for the Humanites</t>
  </si>
  <si>
    <t>Humanities Connections Planning Grants</t>
  </si>
  <si>
    <t>"The Humanities Connections grant program seeks to expand the role of the humanities in undergraduate education at two- and four-year institutions. Grants will support innovative curricular approaches that foster productive partnerships among humanities faculty and their counterparts in the social and natural sciences and in pre-service or professional programs (such as business, engineering, health sciences, law, computer science, and other technology-driven fields).
Competitive applications will demonstrate
that the proposed curricular projects address significant and compelling topics or issues in undergraduate education at the applicant institution(s);
that these projects engage the intellectual skills and habits of mind cultivated by the humanities; and that faculty and students will benefit from meaningful collaborations in teaching and learning across disciplines as a result of the project."</t>
  </si>
  <si>
    <t>Humanities Connections Implementation Grants</t>
  </si>
  <si>
    <t>Humanities Connection Grants</t>
  </si>
  <si>
    <t>$35,000-100,000</t>
  </si>
  <si>
    <t>The Humanities Connections program seeks to expand the role of the humanities in undergraduate education at two- and four-year institutions.  Awards support innovative curricular approaches that foster productive partnerships among humanities faculty and their counterparts in the social and natural sciences and in pre-service or professional programs (such as business, engineering, health sciences, law, computer science, and other technology-driven fields), in order to encourage and develop new integrative learning opportunities for students.</t>
  </si>
  <si>
    <t>Research and Development Grants</t>
  </si>
  <si>
    <t>A+H</t>
  </si>
  <si>
    <t>less than $10,000</t>
  </si>
  <si>
    <t xml:space="preserve"> "Though the majority of our grantmaking focuses on Production and Presentation Grants, we recognize that projects may require support at early stages of formation. Research and Development Grants assist individuals with seed money for research-related expenses such as travel, documentation, materials, supplies, and other development costs. Projects must have clearly defined goals, work plans, and budgets.
Upon completion of research projects, recipients of Research and Development Grants must complete a research report and provide documentation that can be archived at the Graham Foundation and/or presented on our website."</t>
  </si>
  <si>
    <t>Sloan Research Fellowships</t>
  </si>
  <si>
    <t xml:space="preserve"> The Sloan Foundation "fund[s] research and education in science, technology, engineering, mathematics and economics" ... "The Sloan Research Fellowships seek to stimulate fundamental research by early-career scientists and scholars of outstanding promise." ... "Successful candidates for a Sloan Research Fellowship generally have a strong record of significant independent research accomplishments that demonstrate creativity and the potential to become future leaders in the scientific community. Nominated candidates are normally below the rank of associate professor and do not hold tenure, but these are not strict requirements."</t>
  </si>
  <si>
    <t>Samuel H. Kress Short-Term Research Fellowships for Art Historians</t>
  </si>
  <si>
    <t>*No new DEADLINE as of 4.14.21*  "Samuel H. Kress Short-Term Research Library Fellowships for Art Historians
Thanks to a generous grant from the Kress Foundation, RSA will award one Samuel H. Kress Short-Term Research Library Fellowship to an art historian at each of the following nine host institutions."
The RSA–Kress Bodleian Library Fellowship, Oxford University, UK
The RSA–Kress Centro Vittore Branca Fellowship, Fondazione Giorgio Cini, Venice, Italy
The RSA–Kress Centre for Reformation and Renaissance Studies (CRRS) Fellowship, Toronto, Ontario, Canada
The RSA–Kress Folger Fellowship, Washington, DC
The RSA–Kress Newberry Fellowship, Chicago, IL
The RSA–Kress Huntington Fellowship, San Marino, CA
The RSA–Kress New York Public Library Fellowship
The RSA–Kress Beinecke Library Fellowship, Beinecke Rare Book &amp; Manuscript Library, Yale University, CT
The RSA–Kress UCLA Library Fellowship, University of California Los Angeles, Special Collections, Los Angeles, CA</t>
  </si>
  <si>
    <t>"The Renaissance Society of America will award up to thirteen RSA research fellowships in amounts of $3,000 for research travel. All applicants for a Short-Term Research Fellowship are automatically considered for the Kristeller Fellowship, and may indicate if they also wish to be considered for the Palisca and Pedretti Fellowships, if eligible. For more information about application requirements please click on the name of the fellowship."
Paul Oskar Kristeller Fellowship in all subjects
RSA Short-Term Research Fellowship in all subjects. These are usually divided evenly between Senior, Junior, and Non-doctoral scholars.
Claude V. Palisca Fellowship in Musicology
The Pedretti Fellowship in Leonardo da Vinci Studies</t>
  </si>
  <si>
    <t>$3,000-$4,000</t>
  </si>
  <si>
    <t xml:space="preserve">"The Society awards a number of competitive fellowships to members each year supporting individual research projects and publications that advance scholarly knowledge about the period 1300-1700. The purpose of the fellowships, both residential and non-residential, is to support members who need to travel to archives, libraries, and historic sites to conduct short-term research (usually 1–2 months), and then to publish their results for the scholarly community and the general public." 
Residential Fellowships are:
The RSA–Bodleian Library Fellowship, Oxford University, UK
The RSA–Patricia H. Labalme Fellowship, Centro Vittore Branca at Fondazione Giorgio Cini, Venice, Italy
The RSA–Centre for Reformation and Renaissance Studies (CRRS) Fellowship, Toronto, Ontario, Canada
The RSA-Folger, Folger Shakespeare Library, Washington, DC
The RSA-Newberry Fellowship, Newberry Library, Chicago, IL
The RSA-Huntington Fellowship, Huntington Library, San Marino, CA
</t>
  </si>
  <si>
    <t>Fulbright</t>
  </si>
  <si>
    <t>Fulbright U.S. Scholar Program</t>
  </si>
  <si>
    <t>"The Core Fulbright Scholar Program offers over 500 teaching, research or combination teaching/research awards in over 125 countries. Opportunities are available for college and university faculty and administrators as well as for professionals, artists, journalists, scientists, lawyers, independent scholars and many others. In addition to several new program models designed to meet the changing needs of U.S. academics and professionals, Fulbright is offering more opportunities for flexible, multi-country grants."</t>
  </si>
  <si>
    <t>less than $20,000</t>
  </si>
  <si>
    <t>"These grants assist individuals with the production-related expenses that are necessary to take a project from conceptualization to realization and public presentation. These projects include, but are not limited to, publications, exhibitions, installations, films, and new media projects.
Projects must have clearly defined goals, work plans, budgets, and production and dissemination plans."</t>
  </si>
  <si>
    <t>Fellowship Programme</t>
  </si>
  <si>
    <t>1000 EUR</t>
  </si>
  <si>
    <t>"THE FELLOWSHIPS ARE AWARDED IN PARTICULAR FOR
research motivated by the desire to promote understanding among nations through education. This research is aimed at identifying prejudices, distortions in perception, and stereotyped and adversarial images transmitted in education, as well as their origins, by means of analysing educational material, international educational and didactical research on the methods, content and objectives of teaching in the subject areas in which the Institute's library specialises; research in the field of the fundamental governmental, institutional and social frameworks in which this teaching takes place, academic research on issues of perception and reception in the fields of history, geography and social science studies on textbook development in the subjects represented at the Institute which aim at identifying new directions for the production of textbooks based on comparative international textbook research."</t>
  </si>
  <si>
    <t>publication</t>
  </si>
  <si>
    <t>OTHER DEADLINE March 15 
Grants to "support book-length scholarly manuscripts in the history of art, visual studies, and related subjects that have been accepted by a publisher on their merits, but cannot be published in the most desirable form without a subsidy. Thanks to the generous bequest of the late Prof. Millard Meiss, CAA began awarding these publishing grants in 1975.
Books eligible for a Meiss grant must currently be under contract with a publisher and be on a subject in the arts or art history."</t>
  </si>
  <si>
    <t>OTHER DEADLINE  March 15                                                                           "For this grant program, “American art” is defined as art created in the United States, Canada, and Mexico. Eligible for the grant are book-length scholarly manuscripts in the history of American art, visual studies, and related subjects that have been accepted by a publisher on their merits but cannot be published in the most desirable form without a subsidy."</t>
  </si>
  <si>
    <t>Funding</t>
  </si>
  <si>
    <t>Recent grants range from $12,000-$28,000</t>
  </si>
  <si>
    <t>OTHER DEADLINE:  March 15                                                                                                 "The Eppley Foundation for Research was incorporated in 1947 for the purpose of 'increasing knowledge in pure or applied science…in chemistry, physics and biology through study, research and publication.'
The Foundation does not support work in the social sciences, education or computer science, and only rarely funds research into diseases that have considerable financial support available, such as AIDS, diabetes, cancer and heart disease. Particular areas of interest include innovative medical investigations, climate change, whole ecosystem studies, as well as research on single species if they are of particular significance in their environments, in the U.S. and abroad.
The Foundation does not fund work that can qualify for funding from conventional sources such as the National Science Foundation or the National Institutes of Health, or similar agencies at the state level.
It is important to the Foundation that the work proposed be novel in its insights and unlikely to be underway elsewhere. The Foundation is prepared to take risks."</t>
  </si>
  <si>
    <t>Documenting Endangered Languages</t>
  </si>
  <si>
    <t>"This funding partnership between the National Science Foundation (NSF) and the National Endowment for the Humanities (NEH) supports projects to develop and advance knowledge concerning endangered human languages. Made urgent by the imminent death of roughly half of the approximately 7000 currently used languages, this effort aims to exploit advances in information technology to build computational infrastructure for endangered language research. The program supports projects that contribute to data management and archiving, and to the development of the next generation of researchers. Funding can support fieldwork and other activities relevant to the digital recording, documenting, and archiving of endangered languages, including the preparation of lexicons, grammars, text samples, and databases. Funding will be available in the form of one- to three-year senior research grants as well as fellowships from six to twelve months."</t>
  </si>
  <si>
    <t>"The CDS&amp;E-MSS program accepts proposals that confront and embrace the host of mathematical and statistical challenges presented to the scientific and engineering communities by the ever-expanding role of computational modeling and simulation on the one hand, and the explosion in production of digital and observational data on the other. The goal of the program is to promote the creation and development of the next generation of mathematical and statistical theories and tools that will be essential for addressing such issues. To this end, the program will support fundamental research in mathematics and statistics whose primary emphasis will be on meeting the aforementioned computational and data-related challenges."</t>
  </si>
  <si>
    <t>"Advanced computational infrastructure and the ability to perform large-scale simulations and accumulate massive amounts of data have revolutionized scientific and engineering disciplines.  The goal of the CDS&amp;E program is to identify and capitalize on opportunities for major scientific and engineering breakthroughs through new computational and data analysis approaches.  The intellectual drivers may be in an individual discipline or they may cut across more than one discipline in various Directorates.  The key identifying factor is that the outcome relies on the development, adaptation, and utilization of one or more of the capabilities offered by advancement of both research and infrastructure in computation and data, either through cross-cutting or disciplinary programs."</t>
  </si>
  <si>
    <t>Computational and Data-Enabled Science and Engineering Division of Materials Research</t>
  </si>
  <si>
    <t>"Advanced computational infrastructure and the ability to perform large-scale simulations and accumulate massive amounts of data have revolutionized scientific and engineering disciplines.  The goal of the CDS&amp;E program is to identify and capitalize on opportunities for major scientific and engineering breakthroughs through new computational and data analysis approaches.  The intellectual drivers may be in an individual discipline or they may cut across more than one discipline in various Directorates.  The key identifying factor is that the outcome relies on the development, adaptation, and utilization of one or more of the capabilities offered by advancement of both research and infrastructure in computation and data, either through cross-cutting or disciplinary programs. "</t>
  </si>
  <si>
    <t>"The Smith Richardson Foundation sponsors an annual Strategy and Policy Fellows grant competition to support young scholars and policy thinkers on American foreign policy, international relations, international security, military policy, and diplomatic and military history. The purpose of the program is to strengthen the U.S. community of scholars and researchers conducting policy analysis in these fields."</t>
  </si>
  <si>
    <t>American Psychological Association</t>
  </si>
  <si>
    <t>Dr. Rosalee G. Weiss Lecture for Outstanding Leaders in Psychology</t>
  </si>
  <si>
    <t>"The lecturer is an outstanding leader in psychology, or a leader in the arts or sciences whose work and activities have had an effect on psychology.
Award recipients receive an $1,000 honorarium from the APF."</t>
  </si>
  <si>
    <t xml:space="preserve">Consortium for the History of Science, Technology and Medicine </t>
  </si>
  <si>
    <t>Research Fellowships</t>
  </si>
  <si>
    <t>$750-$3000</t>
  </si>
  <si>
    <t xml:space="preserve">“Research Fellows will be awarded a stipend of $750 for use of each collection, $425 if the collection is less than 100 miles from another collection for which a stipend has already been awarded. Candidates who live 100 or more miles from the collections they will use will receive some preference. Fellows typically receive between $950 and $3,000 depending on number and locations of collections used.”
</t>
  </si>
  <si>
    <t>French Studies</t>
  </si>
  <si>
    <t>Social Science
A&amp;H</t>
  </si>
  <si>
    <t xml:space="preserve">“Conduct research in any field in the humanities or social and political sciences and collaborate with colleagues at French research centers and higher education institutions.”
</t>
  </si>
  <si>
    <t>All Disciplines</t>
  </si>
  <si>
    <t xml:space="preserve">“Conduct research or a combination of teaching and research in any discipline of the humanities, social sciences or pure and applied sciences and collaborate with colleagues at French research centers and institutes of higher education. Participants are highly encouraged to participate in conferences and workshops, as well as conduct seminars, in order to share their research experience with the host institution. Applicants wishing to undertake teaching/research grants should determine percentage of the grant dedicated to each activity with the host institution.”
</t>
  </si>
  <si>
    <t>Distinguished Scholar in Public Policy</t>
  </si>
  <si>
    <t>tenured</t>
  </si>
  <si>
    <t>The Fundacao Joaquim Nabuco (FUNDAJ) will be the host institution for a scholar interested in conducting research in Public Policy and collaborating with the foundation through its research projects, debates, and interdisciplinary discussions. There may be opportunities for teaching activities, but they should not exceed three hours per week.</t>
  </si>
  <si>
    <t>Fritz Thyssen Stiftung</t>
  </si>
  <si>
    <t>History Language and Culture</t>
  </si>
  <si>
    <t>Language
History</t>
  </si>
  <si>
    <t>Scholarship</t>
  </si>
  <si>
    <t>“Die Projektförderung der Fritz Thyssen Stiftung richtet sich an Wissenschaftler aus den Geistes- und Sozialwissenschaften sowie der Biomedizin. Das geplante Vorhaben sollte sachlich und zeitlich begrenzt sein.
Auch interdisziplinär angelegte Projekte werden von der Stiftung begrüßt. Die Förderung der Stiftung ist im fachlichen Rahmen der Förderbereiche in aller Regel Vorhaben mit einem Bezug zum deutschen Wissenschaftssystem vorbehalten.  Dieser Bezug kann personell über Projekte gegeben sein, an denen deutsche Wissenschaftler beteiligt sind, institutionell über Forschung von ausländischen Wissenschaftlern an deutschen Forschungseinrichtungen verankert werden oder durch einen thematischen Bezug zu deutschen Wissenschaftsinteressen hergestellt sein.
Im Förderbereich „Geschichte, Sprache und Kultur“ soll das Erbe der klassischen Geisteswissenschaften gewahrt und fruchtbar weiterentwickelt werden. Trotz aller fachlichen Neukombinationen bleibt der Rückbezug auf „klassische“ Fächer wie die Philosophie und die Theologie wichtig, die ebenfalls in Wandlungsprozessen begriffen sind, zugleich aber weiterhin erkenntnisleitende Orientierungen bieten, die allen Fächern im weiten Bereich der Geistes- und Kulturwissenschaften von Nutzen sein können.
„Kunstgeschichte: Die Dynamik des kulturellen und sozialen Wandels hat die mit den Künsten befassten Disziplinen, insbesondere Kunstgeschichte und Musikgeschichte sowie Theater- und Medienwissenschaft, vor neue Herausforderungen gestellt. Es geht heute weniger um neue Avantgarden oder künstlerische Fortschritte als vielmehr um eine dramatische Verschiebung der Perspektiven und Kontexte. Ein verändertes Gegenwartsbewusstsein hat nicht nur zu einer Ausweitung der Untersuchungsgegenstände geführt, sondern auch den Blick auf künstlerische Austauschprozesse jenseits des europäisch geprägten Kunstkanons gelenkt. Ein Überdenken herkömmlicher Methoden und Interpretationsstrategien ist infolgedessen notwendig geworden.”</t>
  </si>
  <si>
    <t>Fritz Thyssen Foundation</t>
  </si>
  <si>
    <t>Conference</t>
  </si>
  <si>
    <t>The Fritz Thyssen Foundation supports scholarly events, in particular national and international conferences with the aim of facilitating the discussion and analysis of specific scholarly questions as well as fostering cooperation and networking of scholars working in the same field or on interdisciplinary topics. An application can be filed in the following areas of support: History, Language &amp; Culture, The interdisciplinary field “Image–Sound–Language”, State, Economy and Society and Medicine and the Natural Sciences</t>
  </si>
  <si>
    <t>Computational and Data-Enabled Science and Engineering Division of Mathematical Sciences</t>
  </si>
  <si>
    <t>"The CDS&amp;E-MSS program accepts proposals that engage with the mathematical and statistical challenges presented by (1) the ever-expanding role of computational experimentation, modeling, and simulation on the one hand, and (2) the explosion in production and analysis of digital data from experimental and observational sources on the other. The goal of the program is to promote the creation and development of the next generation of mathematical and statistical software tools, and the theory underpinning those tools, that will be essential for addressing these challenges."</t>
  </si>
  <si>
    <t xml:space="preserve"> "Fellows should be working on topics related to the 2020-21 theme of FABRICATION. Their approach to the humanities should be broad enough to appeal to students and scholars in several humanistic disciplines."
Fellows include scholars and practitioners from other universities and members of the Cornell faculty released from regular duties. Fellows will collaborate with the Taylor Family Director of the Society for the Humanities, Paul Fleming, Professor of Comparative Literature and German Studies. Fellows spend their time in research and writing, participate in the weekly Fellows Seminar, and offer one course related to their research. Courses should be related to the focal theme, and appropriate for graduate students and advanced undergraduates. Fellows are encouraged to explore topics they would not normally teach and, in general, to experiment freely with both the content and the method of their courses."</t>
  </si>
  <si>
    <t>Summer Stipends</t>
  </si>
  <si>
    <t>“According to the 1965 National Foundation on the Arts and the Humanities Act, “The term ‘humanities’ includes, but is not limited to, the study of the following: language, both modern and classical; linguistics; literature; history; jurisprudence; philosophy; archaeology; comparative religion; ethics; the history, criticism and theory of the arts; those aspects of the social sciences which have humanistic content and employ humanistic methods; and the study and application of the humanities to the human environment with particular attention to reflecting our diverse heritage, traditions, and history and to the relevance of the humanities to the current conditions of national life.
“According to the 1965 National Foundation on the Arts and the Humanities Act, “The term ‘humanities’ includes, but is not limited to, the study of the following: language, both modern and classical; linguistics; literature; history; jurisprudence; philosophy; archaeology; comparative religion; ethics; the history, criticism and theory of the arts; those aspects of the social sciences which have humanistic content and employ humanistic methods; and the study and application of the humanities to the human environment with particular attention to reflecting our diverse heritage, traditions, and history and to the relevance of the humanities to the current conditions of national life.”</t>
  </si>
  <si>
    <t>&lt;$70,000/9 months</t>
  </si>
  <si>
    <t>*No new DEADLINE as of 3.26.21*                                                                                      "The Dorothy and Lewis B. Cullman Center for Scholars and Writers offers fellowships to people whose work will benefit directly from access to the research collections at the Stephen A. Schwarzman Building at Fifth Avenue and 42nd Street. Renowned for the extraordinary comprehensiveness of its collections, the Library is one of the world's preeminent resources for study in anthropology, art, geography, history, languages and literature, philosophy, politics, popular culture, psychology, religion, sociology, and sports.... The Cullman Center’s Selection Committee awards up to 15 fellowships a year to outstanding scholars and writers—academics, independent scholars, journalists, and creative writers."</t>
  </si>
  <si>
    <t>"R18 is the Dissemination and Implementation (D&amp;I) grant, which is reviewed by the National Heart, Lung, and Blood Institute (NHLBI). "Dissemination and Implementation (D&amp;I) research is an integral part of the NHLBI’s systematic approach to the support of research throughout the biomedical spectrum. D&amp;I research involves extension or adaptation of generally accepted and efficacious interventions that have been previously carried out in well-controlled settings to broader populations or settings. In issuing these guidelines, NHLBI intends to provide information to assist members of the scientific community interested in applying for D&amp;I research grants in the cardiovascular, pulmonary, blood, and sleep areas." Deadlines: 1/25/21, 5/25/20, 9/25/20</t>
  </si>
  <si>
    <t xml:space="preserve">Deadlines: 1/25, 5/25, 9/25                                                                                                    The purpose of this program is to support research education activities that: (a) Complement and/or enhance the training of a workforce to meet the nation’s biomedical, behavioral and clinical research needs; (b) Enhance the diversity of the biomedical, behavioral and clinical research workforce; (c) Help recruit individuals with specific specialty or disciplinary backgrounds to research careers in biomedical, behavioral and clinical sciences; or (d) Foster a better understanding of biomedical, behavioral and clinical research and its implications. </t>
  </si>
  <si>
    <t>Research Support Fellowship</t>
  </si>
  <si>
    <t>&lt;$60,000 plus $1,000 research costs</t>
  </si>
  <si>
    <t>*CLOSED*                                                                                          "for scholars, artists, and scientists pursuing outstanding research in all disciplines — including the arts, engineering, humanities, law, and formal, natural, and social sciences — with projects that are creative, innovative, or align with the intellectual orientation of the NDIAS. Projects that integrate questions of value, meaning, or purpose in the analyses are encouraged. The Institute seeks applicants with excellent records of accomplishment pursuing fellowships for periods ranging from three weeks to a full academic year."</t>
  </si>
  <si>
    <t>Berlin Prize</t>
  </si>
  <si>
    <t>$5,000 plus travel, room, and partial board</t>
  </si>
  <si>
    <t>*Next cycle will open late spring 2021*                                                                              "Each year the Academy welcomes about two dozen fellows to the Hans Arnhold Center, on Lake Wannsee. The Academy also hosts a small number of invited Distinguished Visitors for shorter stays of one to four weeks, and organizes a diverse public program that includes lectures and presentations by resident fellows, Distinguished Visitors, and guest speakers.
In addition to placing a high priority on the independent work of its fellows, the Academy is in a unique position to aid fellows in establishing professional networks, both in Berlin and beyond. The Academy’s public atmosphere, which actively encourages fellows to introduce their work to wider audiences, serves its mission of fostering transatlantic ties through cultural exchange."</t>
  </si>
  <si>
    <t>Notre Dame Institute for Advanced Study</t>
  </si>
  <si>
    <t>Faculty Fellowships</t>
  </si>
  <si>
    <t>up to $75,000</t>
  </si>
  <si>
    <t xml:space="preserve">“The Notre Dame Institute for Advanced Study (NDIAS) promotes issue-engaged, inclusive, and interdisciplinary study of questions that affect our ability to lead valuable, meaningful lives. Each year, the NDIAS convenes a diverse group of faculty fellows, graduate students, and undergraduate scholars to participate in a residential research community, with topics organized around an annual theme. The NDIAS also organizes regular academic programming—including research seminars, public lectures, symposia, and conferences—on the theme.”
</t>
  </si>
  <si>
    <t>"The Probability Program supports research on the theory and applications of probability. Subfields include discrete probability, stochastic processes, limit theory, interacting particle systems, stochastic differential and partial differential equations, and Markov processes. Research in probability which involves applications to other areas of science and engineering is especially encouraged."</t>
  </si>
  <si>
    <t>Simons Fellows in Mathematics</t>
  </si>
  <si>
    <t>50% of salary &lt;$100,000 plus &lt;$10,000 for expenses related to a leave</t>
  </si>
  <si>
    <t>"The Simons Foundation’s Mathematics and Physical Sciences (MPS) division invites applications for the Simons Fellows in Mathematics program, which is intended to make sabbatical leaves more productive by extending them to a full academic year."</t>
  </si>
  <si>
    <t>Simons Fellows in Theoretical Physics</t>
  </si>
  <si>
    <t>50% of salary &lt;$100,000 plus &lt;$25,000 for expenses related to a leave</t>
  </si>
  <si>
    <t>* "The Simons Foundation’s Mathematics and Physical Sciences (MPS) division invites applications for the Simons Fellows in Theoretical Physics program, which is intended to make sabbatical leaves more productive by extending them to a full academic year."</t>
  </si>
  <si>
    <t>"The Combinatorics program supports research on discrete structures and includes algebraic, enumerative, existential, extremal, geometric, and probabilistic combinatorics, including graph theory."</t>
  </si>
  <si>
    <t>Infrastructure and Capacity Building Challenge Grants</t>
  </si>
  <si>
    <t xml:space="preserve">The purpose of the Challenge Grants program is to strengthen the institutional base of the humanities by enabling infrastructure development and capacity building. Awards aim to help institutions secure long-term support for their core activities and expand efforts to preserve and create access to outstanding humanities materials. The program funds two distinct types of projects, each with its own Notice of Funding Opportunity:
Capital Projects supports the design, purchase, construction, restoration, or renovation of facilities for humanities activities.  This includes the purchase and installation of related moveable and permanently affixed equipment for exhibiting, maintaining, monitoring, and protecting collections (whether on exhibit or in storage), and for critical building systems, such as electrical, heating ventilation and air conditioning, security, life safety, lighting, utilities, telecommunications, and energy management.  
Digital Infrastructure supports the maintenance, modernization, and sustainability of existing digital scholarly projects and platforms.
</t>
  </si>
  <si>
    <t>"The program in Foundations supports research in mathematical logic and the foundations of mathematics, including proof theory, recursion theory, model theory, set theory, and infinitary combinatorics."</t>
  </si>
  <si>
    <t>All</t>
  </si>
  <si>
    <t>&lt;$40,000 for Assistant Professor 
&lt;$50,000 for Associate Professor 
&lt;$70,000 for full Professor</t>
  </si>
  <si>
    <t>"Each year the Academy welcomes about two dozen fellows to the Hans Arnhold Center, on Lake Wannsee. The Academy also hosts a small number of invited Distinguished Visitors for shorter stays of one to four weeks, and organizes a diverse public program that includes lectures and presentations by resident fellows, Distinguished Visitors, and guest speakers.
In addition to placing a high priority on the independent work of its fellows, the Academy is in a unique position to aid fellows in establishing professional networks, both in Berlin and beyond. The Academy’s public atmosphere, which actively encourages fellows to introduce their work to wider audiences, serves its mission of fostering transatlantic ties through cultural exchange."</t>
  </si>
  <si>
    <t>up to $51,000</t>
  </si>
  <si>
    <t>*No new DEADLINE  as of 6.29.21*                                                                                      "The Research Fellowship Program aims to promote and cultivate scholarly research about Oman across several academic disciplines. The fellowship is open to PhD candidates and university academics who are US citizens or affiliated with an American university, and funds one scholar or team of scholars to carry out research in Oman each year."</t>
  </si>
  <si>
    <t>Searle Scholars Program</t>
  </si>
  <si>
    <t>$300,000/3 years</t>
  </si>
  <si>
    <t xml:space="preserve">*Next cycle announced 7.1.21*
Searle Grants support research in medicine, chemistry, and the biological sciences. “The Searle Scholars Program is a limited submission award program which makes grants to selected academic and research institutions to support the independent research of outstanding early-career scientists who have recently been appointed as assistant professors on a tenure-track appointment. Grants are $300,000 for a three-year term with $100,000 payable each year of the grant, subject to the receipt of acceptable progress reports. Generally, the program makes 15 new grants annually.”  *Barnard College is not listed as an eligible institution*          </t>
  </si>
  <si>
    <t>Kempf Fund Award</t>
  </si>
  <si>
    <t>"The Kempf Fund Award for Research Development in Psychobiological Psychiatry, established in 1988, recognizes a senior researcher who has made a significant contribution to research on the causes and treatment of schizophrenia as both a researcher and a mentor. An award is also made to support the career development of a young research psychiatrist working in a mentor-trainee relationship with the award winner. Funded by the estate of Dorothy C. Kempf."</t>
  </si>
  <si>
    <t>up to $500,000</t>
  </si>
  <si>
    <t>CISE’s Division of Computing and Communication Foundations (CCF) supports research and education projects that develop new knowledge in four core programs:
The Algorithmic Foundations (AF) program;
The Communications and Information Foundations (CIF) program;
The Foundations of Emerging Technologies (FET) program; and
The Software and Hardware Foundations (SHF) program.</t>
  </si>
  <si>
    <t>Computer and Network Systems</t>
  </si>
  <si>
    <t>"CISE’s Division of Computer and Network Systems (CNS) supports research and education projects that take a system-oriented approach to the development of novel computing and networking technologies, or to the enhancement of existing systems in any of several dimensions, or that explore new ways to make use of existing technologies."</t>
  </si>
  <si>
    <t>CISE’s Division of Information and Intelligent Systems (IIS) supports research and education projects that develop new knowledge in three core programs:
The Cyber-Human Systems (CHS) program;
The Information Integration and Informatics (III) program; and
The Robust Intelligence (RI) program.
Proposals in the area of computer graphics and</t>
  </si>
  <si>
    <t>Lizette Peterson- Home Injury Prevention Grant</t>
  </si>
  <si>
    <t>“$5,000 for research on the prevention of injuries in children and adolescents through accidents, violence, abuse or suicide.”</t>
  </si>
  <si>
    <t>Walfish Grants Program</t>
  </si>
  <si>
    <t>For graduate students and early career (within 10 years of PhD.)
"The Steven O. Walfish Grants supported by the Division 42 Next Generation Fund promote and support the next generation of student and early career practitioner psychologists to expand the knowledge base in the practice of psychology."</t>
  </si>
  <si>
    <t>Division of Chemistry</t>
  </si>
  <si>
    <t>All proposals to: Chemical Catalysis (CAT); Chemical Structure, Dynamics and Mechanisms-A (CSDM-A); Chemical Structure, Dynamics and Mechanisms-B (CSDM-B); Chemical Theory, Models and Computational Methods (CTMC); and Chemical Synthesis (SYN)
"CHE supports a large and vibrant research community engaged in fundamental discovery, invention, and innovation in the chemical sciences. The projects supported by CHE explore the frontiers of chemical science, develop the foundations for future technologies and industries that meet changing societal needs, and prepare the next generation of chemical researchers.
Some of the areas supported by CHE include:
designing, synthesizing and characterizing new molecules, surfaces, and nanostructures - especially those with a focus on sustainability;
increasing our fundamental understanding of molecules and their chemical transformations;
developing new tools for chemical discovery, including those in data discovery science where increasing volumes and varieties of data are harnessed to advance innovation;
determining structure-function relationships in biological systems and contributing to our understanding of the fundamental rules of life;
observing, manipulating, and controlling the behavior of matter and energy in nanometer dimensions such as the quantum regime;
understanding chemical processes in the environment;
enabling next-generation technologies in sensing, computing, modeling, and communications; and
solving complex chemical problems by the development of new theories, computations, and tools, including the synergistic combination of multiple types of instruments."</t>
  </si>
  <si>
    <t>Division of Mathematical Sciences Analysis Program</t>
  </si>
  <si>
    <t>"The Analysis Program supports basic research in that area of mathematics whose roots can be traced to the calculus of Newton and Leibniz.  Given its centuries-old ties to physics, analysis has influenced developments from Newton’s mechanics to quantum mechanics and from Fourier’s study of heat conduction to Maxwell’s equations of electromagnetism to Witten’s theory of supersymmetry.  More generally, research supported by Analysis provides the theoretical underpinning for the majority of applications of the mathematical sciences to other scientific disciplines.  Current areas of significant activity include: nonlinear partial differential equations; dynamical systems and ergodic theory; real, complex and harmonic analysis; operator theory and algebras of operators on Hilbert space; mathematical physics; and representation theory of Lie groups/algebras.  Emerging areas include random matrix theory and its ties to classical analysis, number theory, quantum mechanics, and coding theory; and development of noncommutative geometry with its applications to modeling physical phenomena.  It should be stressed, however, that the underlying role of the Analysis Program is to provide support for research in mathematics at the most fundamental level.  Although this is often done with the expectation that the research will generate a payoff in applications at some point down the road, the principal mission of the Program is to tend and replenish an important reservoir of mathematical knowledge, maintaining it as a dependable resource to be drawn upon by engineers, life and physical scientists, and other mathematical scientists, as need arises."</t>
  </si>
  <si>
    <t>Truman Library Institute</t>
  </si>
  <si>
    <t>“Research Grants of up to $2,500 are awarded twice annually to offset the cost of conducting research at the Harry S. Truman Library and Museum. Funding is calculated on the following basis: 1) $75 for any night spent in Independence, Missouri to cover lodging and meals; 2) airfare based on the best advance-coach fare available or current IRS mileage rate for those driving personal vehicles; 3) $100 allowance for photocopying.”</t>
  </si>
  <si>
    <t>Visiting Fellowship</t>
  </si>
  <si>
    <t xml:space="preserve">stipend, travel, health insurance, partial housing </t>
  </si>
  <si>
    <t>*No new DEADLINE as of 5.21.21*                                                                           "the Kellogg Institute for International Studies has offered visiting fellowships to promote interdisciplinary international research in a supportive community of scholars. This widely respected residential program offers you time to pursue scholarly inquiry where it takes you, advance your personal research, and collaborate with other scholars and practitioners from across the US and around the globe.
As a visiting fellow, you pursue research related to Kellogg Institute themes of democracy and human development, share your research with the Notre Dame scholarly community, and have the opportunity to publish in Kellogg’s peer-reviewed Working Paper Series." ... "We expect fellows to attend and participate in the weekly seminar and lecture series and most Kellogg events."</t>
  </si>
  <si>
    <t>$250/week plus travel</t>
  </si>
  <si>
    <t>*Applications for fall 2022 and spring 2023 open summer 2021*                              The Camargo Core Program is the historical and flagship program of the Foundation. Each year an international call is launched through which 18 fellows (9 artists and 9 scholars/thinkers) are selected. The Camargo Core Program offers time and space in a contemplative environment to think, create, and connect. By supporting groundbreaking research and experimentation, it contributes to the visionary work of artists, scholars and thinkers in the Arts and Humanities. By encouraging multidisciplinary and interdisciplinary approaches, it intends to foster connections between research and creation.</t>
  </si>
  <si>
    <t>The Bibliographical Society of America</t>
  </si>
  <si>
    <t>Senior Fellowships</t>
  </si>
  <si>
    <t xml:space="preserve">“To support the mission of the Society to foster the study of books and other textual artifacts in traditional and emerging formats, and in keeping with the value which the Society places on the field of bibliography as a critical interpretative framework for understanding such artifacts, the BSA funds a number of fellowships designed to promote bibliographical inquiry and research.
Bibliographical projects may range chronologically from clay tablets and papyrus rolls to contemporary literary texts and born-digital materials. Topics relating to books and manuscripts in any field and of any period are eligible for consideration as long as they include analysis of the physical object – that is, the handwritten, printed, or other textual artifact – as historical evidence.
Projects may include establishing a text or studying the history of book or manuscript production, publication, distribution, collecting, or reading. Fellowship awards may be used to fund travel to collections and other expenses associated with research into the topic for which the award was made.
</t>
  </si>
  <si>
    <t>Deutscher Akademischer Austauschdienst (DAAD)</t>
  </si>
  <si>
    <t>Re-invitation Grant</t>
  </si>
  <si>
    <t xml:space="preserve">Other Deadline May 1
“DAAD offers grants for one to three months in all academic disciplines to scholars at US and Canadian institutions of higher education to pursue research at universities, libraries, archives, institutes or laboratories in Germany. The aim of this particular program is to enable former scholarship holders to carry out research projects in Germany and to maintain contacts as part of DAAD’s global alumni network. Grants are awarded for research and work projects and cannot be used for travel only. Airfare to Germany will not be covered and lecture tours, attendance at conferences or conventions, editorial meetings or extended guest professorships are not funded.”
</t>
  </si>
  <si>
    <t>915/23</t>
  </si>
  <si>
    <t>Research Travel Grants Program</t>
  </si>
  <si>
    <t>travel grant</t>
  </si>
  <si>
    <t>UP TO $2,200</t>
  </si>
  <si>
    <t>OTHER DEADLINE March 15
"The Gerald R. Ford Presidential Foundation awards grants of up to $2,200 each in support of research in the holdings of the Gerald R. Ford Library. A grant defrays travel and living expenses of a research trip to the Ford Library. Overseas applicants are welcome to apply, but they will be responsible for the costs of travel between their home country and North America. The grants only cover travel within North America. 
Library collections focus on Federal policies, U.S. foreign relations, and national politics in the 1960s and 1970s. There are earlier and later materials depending upon your topic."</t>
  </si>
  <si>
    <t>Action Grants</t>
  </si>
  <si>
    <t>project, programming</t>
  </si>
  <si>
    <t>&lt;$5,000</t>
  </si>
  <si>
    <t>Action Grants offer up to $5,000 to implement humanities projects that encourage public audiences to reflect on their values, explore new ideas, and engage with others in their community. These grants require organizations to demonstrate a match of at least one-to-one. Requests related to the U.S. Women's Suffrage Centennial in 2020, the Erie Canal Bicentennial, and the prison ecosystem are welcome.  These grants aim to:
Connect audiences more deeply to the communities where they live and work.
Solidify community partnerships and diversify audiences.
Creatively employ the tools of the humanities to respond to issues and ideas capturing the imagination and passion of New Yorkers today."</t>
  </si>
  <si>
    <t>Sigma XI</t>
  </si>
  <si>
    <t>“The Sigma Xi Grants in Aid of Research (GIAR) program has provided undergraduate and graduate students with valuable educational experiences since 1922. By encouraging close working relationships between students and mentors, the program promotes scientific excellence and achievement through hands-on learning. The program awards grants of up to $1,000 to students from most areas of the sciences and engineering.”</t>
  </si>
  <si>
    <t>External Faculty Fellowships</t>
  </si>
  <si>
    <t>&lt;$70,000
housing and moving allowance of &lt;$30,000</t>
  </si>
  <si>
    <t>"The Humanities Center offers approximately twenty-five residential fellowships for the academic year to Stanford and non-Stanford scholars at different career stages, giving them the opportunity to pursue their work in a supportive intellectual community.... External fellowships are intended primarily for individuals currently teaching in or affiliated with an academic institution, but independent scholars may apply. Faculty fellowships are awarded across the spectrum of academic ranks (assistant, associate, and full professor) and a goal of the selection process is to create a diverse community of scholars."</t>
  </si>
  <si>
    <t>dn</t>
  </si>
  <si>
    <t>$20,000-$100,000</t>
  </si>
  <si>
    <t>"Environment and species conservation and blindness-related services and research. Additional discretionary grants may be made to specific organizations and program areas that were of interest to Mrs. de Coizart." "Annual distributions from the Trust are managed by JP Morgan Chase Bank and Mr. Richard Bartholomae."</t>
  </si>
  <si>
    <t>Getty Foundation</t>
  </si>
  <si>
    <t xml:space="preserve">Postdoctoral Fellowships </t>
  </si>
  <si>
    <t xml:space="preserve">“Getty Predoctoral and Postdoctoral Fellowships are intended for emerging scholars to complete work on projects related to the Getty Research Institute's annual research theme. Recipients are in residence at the Getty Research Institute or Getty Villa, where they pursue research projects, complete their dissertations, or expand dissertation for publication. Fellows make use of the Getty collections, join in a weekly meeting devoted to the annual theme, and participate in the intellectual life of the Getty.” </t>
  </si>
  <si>
    <t>salary and travel</t>
  </si>
  <si>
    <t>"The Kettering Foundation invites journalists and scholars of journalism from around the world to spend up to six months working with us in Dayton, Ohio, to explore the role of journalism in a democratic society and the obligations of journalists to democratic public life. While at the foundation, residents are expected to work with Kettering’s staff on the foundation’s ongoing research in this area. Work will include literature reviews related to the foundation’s program areas, exploration of the role of a deliberative public in the political work of communities domestically and internationally, and participation in workshops and other meetings related to the foundation’s research."
Dayton, Ohio</t>
  </si>
  <si>
    <t>Decision, Risk and Management Sciences</t>
  </si>
  <si>
    <t>OTHER DEADLINE January 17
"The Decision, Risk and Management Sciences program supports scientific research directed at increasing the understanding and effectiveness of decision making by individuals, groups, organizations, and society. Disciplinary and interdisciplinary research, doctoral dissertation research improvement grants (DDRIGs), and workshops are funded in the areas of judgment and decision making; decision analysis and decision aids; risk analysis, perception, and communication; societal and public policy decision making; management science and organizational design."</t>
  </si>
  <si>
    <t>Economics</t>
  </si>
  <si>
    <t>OTHER DEADLINE January 18
"The Economics program supports research designed to improve the understanding of the processes and institutions of the U.S. economy and of the world system of which it is a part. This program also strengthens both empirical and theoretical economic analysis as well as the methods for rigorous research on economic behavior. It supports research in almost every area of economics, including econometrics, economic history, environmental economics, finance, industrial organization, international economics, labor economics, macroeconomics, mathematical economics, and public finance.
The Economics program welcomes proposals for individual or multi-investigator research projects, doctoral dissertation improvement awards, conferences, symposia, experimental research, data collection and dissemination, computer equipment and other instrumentation, and research experience for undergraduates. The program places a high priority on interdisciplinary research."</t>
  </si>
  <si>
    <t>American Councils Research Fellowships</t>
  </si>
  <si>
    <t>Title VIII Research Scholars Program</t>
  </si>
  <si>
    <t>Language and Area Studies
Eastern Europe &amp; former Soviet Union</t>
  </si>
  <si>
    <t xml:space="preserve">Fellowship travel
</t>
  </si>
  <si>
    <t>"Funded by the U.S. Department of State’s Program for Research and Training on Eastern Europe and the Independent States of the Former Soviet Union (Title VIII), the American Councils Research Scholar Program provides full support for graduate students, faculty, and independent scholars seeking to conduct in-country, independent research for three consecutive months to nine consecutive months in Russia, Eurasia, and Eastern Europe."</t>
  </si>
  <si>
    <t>$2,000-$5,000</t>
  </si>
  <si>
    <t>OTHER DEADLINE February 1 
The Northeast Asia Council (NEAC) of the Association for Asian Studies, in conjunction with the Japan-US Friendship Commission, supports a variety of grant programs in Japanese studies designed to facilitate the research of individual scholars, to improve the quality of teaching about Japan on both the college and precollege levels, and to integrate the study of Japan into the major academic disciplines in the United States.</t>
  </si>
  <si>
    <t>$1,500-$5,000</t>
  </si>
  <si>
    <t>OTHER DEADLINE February 21
The Northeast Asia Council of the Association for Asian Studies (NEAC), in conjunction with the Korea Foundation, offers a grant program in Korean studies designed to assist the research of individual scholars based in North America to improve the quality of teaching about Korea on both the college and precollege levels, and to integrate the study of Korea into the major academic disciplines.</t>
  </si>
  <si>
    <t>Sciences
Environmental Science
Computer Sciences</t>
  </si>
  <si>
    <t>&lt;$200,000</t>
  </si>
  <si>
    <t>Less than $100,000 is recommended.
"The grants will support the creation and deployment of open source trained models and algorithms that are available to other environmental researchers and innovators and thereby have the potential to provide exponential impact.
To qualify, applications should outline a proposal to use AI for conservation in at least one of the following core areas:  
Biodiversity conservation...
Climate change...
Agriculture...
Water...
Below are just a few examples of the types of tools that we are interested in supporting:
Biodiversity conservation: acoustic and image classification, geotemporal distribution models
Climate change: temperature and precipitation model downscaling, risk optimization
Agriculture: health monitoring in crops and livestock, yield modeling
Water: groundwater modeling, flood prediction"</t>
  </si>
  <si>
    <t>"Through an international competition, the Center offers 9-month residential fellowships. The Wilson Center invites scholars, practitioners, journalists and public intellectuals to take part in its flagship international Fellowship Program. Fellows conduct research and write in their areas of interest, while interacting with policymakers in Washington and Wilson Center staff and other scholars in residence.  The Center accepts policy-relevant, non-advocacy fellowship proposals that address key challenges confronting the United States and the world."</t>
  </si>
  <si>
    <t>established</t>
  </si>
  <si>
    <t>"The Research Project (R01) grant is an award made to support a discrete, specified, circumscribed project to be performed by the named investigator(s) in an area representing the investigator's specific interest and competencies, based on the mission of the NIH."</t>
  </si>
  <si>
    <t>R01 - Research Grants</t>
  </si>
  <si>
    <t>OTHER DEADLINES 2/5 and 6/5                                                                         Renewal, Resubmit, Revision
"The Research Project Grant (R01) is the original and historically oldest grant mechanism used by NIH. The R01 provides support for health-related research and development based on the mission of the NIH…. [T]he R01 research plan proposed by the applicant must be related to the stated program interests of one or more of the NIH Institutes and Centers based on their missions.”</t>
  </si>
  <si>
    <t xml:space="preserve">Artist Projects </t>
  </si>
  <si>
    <t>"Grants for Artist Projects (GAP) provide support for artist-generated projects, which can include (but are not limited to) the development, completion or presentation of new work in any discipline."                                                                 *NOTE: only open to Washington state artists</t>
  </si>
  <si>
    <t>monthly stipend negotiable</t>
  </si>
  <si>
    <t>"The National Humanities Center will offer up to 40 residential fellowships for advanced study in the humanities for the period September 2020 through May 2021. Applicants must have a doctorate or equivalent scholarly credentials.... In addition to scholars from all fields of the humanities, the Center accepts individuals from the natural and social sciences, the arts, the professions, and public life who are engaged in humanistic projects."</t>
  </si>
  <si>
    <t>*No new DEADLINE as of 7.1.21*                                                            "The Reagan-Fascell Democracy Fellows Program hosts democracy activists, scholars, and journalists for five-month fellowships, bringing fresh insights and perspectives to Washington, DC. The fellowship offers an important opportunity to explore new ideas in a comparative context, undertake individual research, and share best practices with one another."</t>
  </si>
  <si>
    <t>The Smith Richardson Foundation sponsors an annual “World Politics and Statecraft Fellowship” program, its annual grant competition to support Ph.D. dissertation research on American foreign policy, international relations, international security, strategic studies, area studies, and diplomatic and military history. The purpose of the program is to strengthen the U.S. community of young scholars and researchers conducting policy analysis in these fields by supporting the research and writing of policy-relevant dissertations through funding of field work, archival research, and language training.  In evaluating applications, the Foundation will accord preference to those projects that could directly inform U.S. policy debates and thinking, rather than dissertations that are principally focused on abstract theory or debates within a scholarly discipline.</t>
  </si>
  <si>
    <t>Paul mellon centre</t>
  </si>
  <si>
    <t>Publication Grant</t>
  </si>
  <si>
    <t>“Publication Grants are offered in Autumn to publishers, institutions and/or authors to offset costs incurred in producing works of scholarship in print or in other media. The Grant is either a maximum of £7,000 when applied for by a Publisher, £3,000 when applied for by an Author or a maximum £10,000 when jointly applied for by both Author and Publisher. Smaller grants of £1,000 can also be awarded to authors of short-form publications, such as articles.”</t>
  </si>
  <si>
    <t>&lt;$100,000</t>
  </si>
  <si>
    <t>"The program supports the study and discussion of important humanities sources about war, in the belief that these sources can help U.S. military veterans and others think more deeply about the issues raised by war and military service. Although the program is primarily designed to reach military veterans, men and women in active service, military families, and interested members of the public may also participate.
The program awards grants of up to $100,000 that will support
the convening of at least two discussion programs for no fewer than fifteen participants; and
the creation of a preparatory program to recruit and train program discussion leaders (NEH Discussion Leaders).
Discussion programs may take place on college and university campuses, in veterans’ centers, at public libraries and museums, and at other community venues."</t>
  </si>
  <si>
    <t>A&amp;H
Creative Arts
Visual Art</t>
  </si>
  <si>
    <t>professionally active at least 3 years</t>
  </si>
  <si>
    <t xml:space="preserve"> "Art Omi has five distinct residency programs. Through a competitive jury process, residents are chosen, invited to attend at no cost to themselves, except travel. Abundant, catered meals and comfortable, beautiful lodgings are provided in a scenic location in Columbia County, New York. Art Omi is two hours north of New York City by train." ... "Art Omi: Artists invites 30 artists from around the world, representing a wide diversity of artistic styles and practices, to gather in rural New York for four weeks each summer to experiment, collaborate and share ideas. Concentrated time for creative work is balanced with the stimulation of cultural exchange and critical appraisal."</t>
  </si>
  <si>
    <t>&lt;$78,000</t>
  </si>
  <si>
    <t>*No new DEADLINE as of 7/1/.21*                                                                               "THE SCHOOL OF HISTORICAL STUDIES supports scholarship in all fields of historical research, but is concerned principally with the history of western, near eastern and Asian civilizations, with particular emphasis upon Greek and Roman civilization, the history of Europe (medieval, early modern, and modern), the Islamic world, East Asian studies, art history, the history of science and philosophy and modern international relations. The School also offers the Edward T. Cone Membership in Music Studies. Each year the School welcomes approximately forty Members selected on the basis of both external and internal review. Most are working on topics in the above mentioned fields, but each year the School also selects some scholars working in other areas of historical research."</t>
  </si>
  <si>
    <t>&lt;$75,000</t>
  </si>
  <si>
    <t>*No new DEADLINE as of 7.1.21* 
"THE SCHOOL OF HISTORICAL STUDIES supports scholarship in all fields of historical research, but is concerned principally with the history of western, near eastern and Asian civilizations, with particular emphasis upon Greek and Roman civilization, the history of Europe (medieval, early modern, and modern), the Islamic world, East Asian studies, art history, the history of science and philosophy and modern international relations. The School also offers the Edward T. Cone Membership in Music Studies. Each year the School welcomes approximately forty Members selected on the basis of both external and internal review. Most are working on topics in the above mentioned fields, but each year the School also selects some scholars working in other areas of historical research."</t>
  </si>
  <si>
    <t>NRC Research Associateship Programs</t>
  </si>
  <si>
    <t xml:space="preserve">STEM
</t>
  </si>
  <si>
    <t>“The NRC Research Associateship Programs (RAP) promote excellence in scientific and technological research conducted by the U.S. government through the administration of programs offering graduate, postdoctoral, and senior level research opportunities at sponsoring federal laboratories and affiliated institutions.”</t>
  </si>
  <si>
    <t>Jefferson Science Fellowship</t>
  </si>
  <si>
    <t>*No new DEADLINE as of 7.1.21*                                                                                              In conjunction with the U.S. Department of State and the U.S. Agency for International Development (USAID)
"Selected Jefferson Science Fellows spend one year on assignment at the U.S. Department of State or USAID as science advisors on foreign policy/international development issues. Assignments are tailored to the needs of the hosting office, while taking into account the Fellows’ interests and areas of expertise. As part of their assignments, Fellows also have the opportunity to travel to U.S. embassies and missions overseas. Following the fellowship year, Fellows will return to their academic career but will remain available to the U.S. government as an experienced consultant for short-term projects."</t>
  </si>
  <si>
    <t>Women's Studies in Religion Research Associates</t>
  </si>
  <si>
    <t>*Applications for 2022- 2023 will be posted Summer 2021*                           "Each year, the Women’s Studies in Religion Program at the Harvard Divinity School hosts five full-time research associate/visiting faculty positions. Proposals for book-length research projects utilizing both religion and gender as central categories of analysis are welcomed. Priority will go to book projects for which most research has been completed. The projects may address women and religion in any time, place or religious tradition, and may utilize disciplinary and interdisciplinary approaches from across the fields of theology, the humanities, and the social sciences. Associates meet together regularly for collective discussion of research in progress; each Associate teaches a one-semester course related to the research project; and the Associates present their research in a public lecture series and an annual conference. Full-time residence at Harvard Divinity School is required for the ten month term."</t>
  </si>
  <si>
    <t>50% of salary &lt;$50,000</t>
  </si>
  <si>
    <t>"The Center for Advanced Study in the Visual Arts announces its program for senior fellowships. Fellowships are for full-time research, and scholars are expected to reside in Washington and to participate in the activities of the Center throughout the fellowship period. Lectures, colloquia, and informal discussions complement the fellowship program....
The Paul Mellon and Ailsa Mellon Bruce Senior Fellowships are intended to support research in the history, theory, and criticism of the visual arts (painting, sculpture, architecture, landscape architecture, urbanism, prints and drawings, film, photography, decorative arts, industrial design, and other arts) of any geographical area and of any period. The Samuel H. Kress Senior Fellowships are intended to support research on European art before the early nineteenth century. The William C. Seitz Senior Fellowship is primarily intended to support research on modern and contemporary art. Senior fellowship applications are also solicited from scholars in other disciplines whose work examines artifacts or has implications for the analysis and criticism of form."</t>
  </si>
  <si>
    <t>A&amp;H
Writing</t>
  </si>
  <si>
    <t>"An annual scholarship to support travel abroad for gifted American-born poets. The candidate must submit a poetry sample for consideration. The recipient must agree to spend one year outside of continental North America in whatever place the recipient deems best suited to advance the art of poetry as practiced by him/her. At the end of the year abroad, the poet must submit at least three poems for consideration by the scholarship committee. "</t>
  </si>
  <si>
    <t>Clark Fellowships</t>
  </si>
  <si>
    <t>A&amp;H
Art</t>
  </si>
  <si>
    <t>"The Clark offers between ten and sixteen Clark Fellowships each year, ranging in duration from one to ten months. National and international scholars, critics, and museum professionals are welcome to propose projects that extend and enhance the understanding of the visual arts and their role in culture. Stipends are dependent on salary and sabbatical replacement needs. Housing in the Clark’s Scholars’ Residence, located across the street from the campus, is provided. A number of special fellowships are also offered."</t>
  </si>
  <si>
    <t>Area Studies</t>
  </si>
  <si>
    <t>$20,000-$35,000</t>
  </si>
  <si>
    <t>"To help replace half of a professor’s salary while on sabbatical, or for time off for research and writing. The Foundation’s grants provide support for research on Chinese studies in the humanities and social sciences. The grant is for one year."</t>
  </si>
  <si>
    <t>OTHER DEADLINES 1/15 and 9/15                                                                                        "The Foundation's programs encompass five regions: the Domestic Region, the American Region, the European Region, the Asia-Pacific Region, and Developing Regions. Programs in the Domestic and American Regions commenced in 1989, followed shortly by the European Region in 1990 and the Asia-Pacific Region in 1991. The Developing Regions program commenced in 2015. "</t>
  </si>
  <si>
    <t>$55,000/2 years</t>
  </si>
  <si>
    <t>“The Undergraduate Research (UR) grants program provides funding for scientists and engineers with established programs of research at non-doctoral departments. UR grants are used to illustrate proof of principle, i.e., feasibility, and accordingly, are to be viewed as seed money for generating preliminary results that can be used to apply for continuation funding from other agencies. Applicants may have limited or no preliminary results for a research project they wish to pursue.”</t>
  </si>
  <si>
    <r>
      <rPr>
        <rFont val="Calibri"/>
        <color rgb="FF000000"/>
        <sz val="10.0"/>
      </rPr>
      <t>"Undergraduate New Investigator (UNI) grants provide funds for scientists and engineers who are beginning their independent careers in academia and have limited or no preliminary results for a research project they wish to pursue. The UNI grants are to be used to illustrate proof of principle, i.e., feasibility, and accordingly, are to be viewed as seed money for generating preliminary results that can be used to apply for continuation funding from other agencies.
Eligibility for a UNI grant requires that a PI is in a department without a doctoral program in the United States and that the students receiving stipends for the work to be done are undergraduates "  "shall use all funds exclusively for advanced scientific education and fundamental research in the ‘</t>
    </r>
    <r>
      <rPr>
        <rFont val="Calibri"/>
        <b/>
        <color rgb="FF000000"/>
        <sz val="11.0"/>
      </rPr>
      <t>petroleum field</t>
    </r>
    <r>
      <rPr>
        <rFont val="Calibri"/>
        <color rgb="FF000000"/>
        <sz val="11.0"/>
      </rPr>
      <t>,’"</t>
    </r>
  </si>
  <si>
    <t>ACS Award Encouraging Women into Careers in the Chemical Sciences</t>
  </si>
  <si>
    <t xml:space="preserve">“To recognize significant accomplishments by individuals who have stimulated or fostered the interest of women in chemistry, promoting their professional developments as chemists or chemical engineers.” </t>
  </si>
  <si>
    <t>European University Institute</t>
  </si>
  <si>
    <t xml:space="preserve">Max Weber Programme for Postdoctoral Fellowship </t>
  </si>
  <si>
    <t>“The Max Weber Programme started in September 2006 and is now the largest international postdoctoral programme in the Social Sciences and Humanities in Europe. The Programme is located at the European University Institute in Florence. It is funded by the European Commission (DG Education and Culture), which provides bursaries of one or two years for around 50-55 Fellowships. These bursaries are open to scholars from anywhere in the world (not just nationals of an EU Member State) who have received a doctorate in economics, law, history, social and political sciences, or a related field, within the past 5 years.”</t>
  </si>
  <si>
    <t>OTHEER DEADLINES 2/16 and 6/16</t>
  </si>
  <si>
    <t>A Science of Science Policy Approach to Analyzing and Innovating the Biomedical Research Enterprise (SCISIPBIO)</t>
  </si>
  <si>
    <t>“The National Science Foundation (NSF) and the National Institutes of Health (NIH) are interested in proposals that will propel our understanding of the biomedical research enterprise by drawing from the scientific expertise of the science of science policy research community.”</t>
  </si>
  <si>
    <t>EHR Core Research (ECR)</t>
  </si>
  <si>
    <t>“The EHR Core Research program (ECR) invites proposals for fundamental research (basic research or use-inspired basic research) that advances knowledge in one or more of the three Research Tracks: Research on STEM Learning and Learning Environments, Research on Broadening Participation in STEM fields, and Research on STEM Workforce Development.”</t>
  </si>
  <si>
    <t>Paleo Perspectives on Climate Change</t>
  </si>
  <si>
    <t>"The goal of research funded under the interdisciplinary P2C2 solicitation is to utilize key geological, chemical, atmospheric (gas in ice cores), and biological records of climate system variability to provide insights into the mechanisms and rate of change that characterized Earth's past climate variability, the sensitivity of Earth's climate system to changes in forcing, and the response of key components of the Earth system to these changes. 
Important scientific objectives of P2C2 are to: 1) provide comprehensive paleoclimate data sets that can serve as model test data sets analogous to instrumental observations; and 2) enable transformative syntheses of paleoclimate data and modeling outcomes to understand the response of the longer-term and higher magnitude variability of the climate system that is observed in the geological and cryospheric records.  "</t>
  </si>
  <si>
    <t>Woodrow Wilson Foundation</t>
  </si>
  <si>
    <t>Career Enhancement Fellowships</t>
  </si>
  <si>
    <t>$30,000; $1,500 for travel and research. “The Fellow’s institution is expected to supplement the Career Enhancement Fellowship stipend so that the Fellow receives his/her academic salary.”</t>
  </si>
  <si>
    <t xml:space="preserve">“The Career Enhancement Fellowship Program seeks to increase the presence of minority junior faculty members and other faculty members committed to eradicating racial disparities in core fields in the arts and humanities. The Fellowship, funded by the Andrew W. Mellon Foundation, supports the Mellon Foundation's mission to strengthen, promote, and, where necessary, defend the contributions of the humanities and the arts to human flourishing and to the well-being of diverse and democratic societies.”
</t>
  </si>
  <si>
    <t>R15 - Academic Research Enhancement Award (AREA)</t>
  </si>
  <si>
    <t>&lt;$300,000</t>
  </si>
  <si>
    <t>OTHER DEADLINES:  February 25, June 25, October 25
"Goals of the Program:
Support meritorious research
expose undergraduate and graduate students to hands-on research in eligible environments
Strengthen the research environment of schools that have not been major recipients of NIH support"</t>
  </si>
  <si>
    <t xml:space="preserve"> "offers five Solmsen Fellowships each year to scholars outside UW-Madison working in the humanities on European history and culture in the classical, medieval, and/or early modern periods before 1700. Projects on the relationship of pre-1700 Europe to other parts of the world are also welcome. 
Fellows are expected to be in residence throughout the academic year (except for short research trips, lectures, conferences, etc.) and may extend their residency through the following summer on a non-stipendary basis."</t>
  </si>
  <si>
    <t>*EXPIRED*                                                                                                                                                                                                                                                          "The Institute for Research in the Humanities will offer two Robert M. Kingdon Fellowships for 2020-2021  to be awarded to scholars from outside the University of Wisconsin-Madison. Through a generous bequest from Robert M. Kingdon, the Kingdon Fellowship sponsors scholars working in the humanities in the historical, literary, artistic, and/or philosophical studies of Christian and/or Jewish religious traditions and their role in society. Projects may focus on any period from antiquity to the present, on any part of the world, and in any field(s) in the humanities. They may explore various forms of the Jewish and/or Christian traditions; the interaction of one or both of these with other religious traditions; and/or the relationship of one or both of these religions to other aspects of society within or outside of Europe.
Kingdon Fellows are expected to be in residence at the Institute throughout the academic year (except for short research trips, lectures, conferences, etc.) and may extend this residency through the following summer on a non-stipendary basis."</t>
  </si>
  <si>
    <t>NEA Jazz Masters Fellowships</t>
  </si>
  <si>
    <t>*No new DEADLINE as of 8.17.21*  MOVE TO AWARDS
"The Arts Endowment will honor musicians who represent a range of styles and instruments. In addition, one fellowship -- the A.B. Spellman NEA Jazz Masters Fellowship for Jazz Advocacy -- will be given to an individual who has made major contributions to the appreciation, knowledge, and advancement of the American jazz art form....
The NEA Jazz Masters Fellowships are awarded to living individuals on the basis of nominations from the public including members of the jazz community. The NEA encourages nominations of a broad range of men and women who have been significant to the field of jazz through vocal and instrumental performance, creative leadership, and education. Successful nominees will demonstrate significant contribution to the art form through their body of work in the field of jazz."</t>
  </si>
  <si>
    <t>Textbook &amp; Academic Authors Association</t>
  </si>
  <si>
    <t>Academic &amp; Textbook Writing Grants</t>
  </si>
  <si>
    <t xml:space="preserve">“TAA offers two forms of grants to assist members and non-members with some of the expenses related to publishing their academic works and textbooks: Publication Grants provide reimbursement for eligible expenses directly related to bringing an academic book, textbook, or journal article to publication &amp; Contract Review Grants reimburse eligible expenses for legal review when you have a contract offer for a textbook or academic monograph or other scholarly work that includes royalty arrangements.” </t>
  </si>
  <si>
    <t>Area Studies
General</t>
  </si>
  <si>
    <t>Other deadline: 12/31. "The B.A.E.F encourages applications for fellowships for advanced study or research during the academic year at a Belgian University or institution of higher learning. The B.A.E.F. will award up to ten fellowships as outright non-renewable grants. Fellows are expected to stay for a period of 12 months in Belgium and the minimum fellowship period is 6 months."</t>
  </si>
  <si>
    <t>National Endowment for the Humanities Fellowships</t>
  </si>
  <si>
    <t>A&amp;H/ Art History</t>
  </si>
  <si>
    <t>$10,000-30,000/3-9 months</t>
  </si>
  <si>
    <t>"It offers two major research libraries: the Blegen, with over 107,000 volumes dedicated to the ancient Mediterranean world; and the Gennadius, with over 146,000 volumes and archives devoted to post-classical Hellenic civilization and, more broadly, the Balkans and the eastern Mediterranean. The School also sponsors excavations and provides centers for advanced research in archaeological and related topics at its excavations in the Athenian Agora and Corinth, and it houses an archaeological laboratory at the main building complex in Athens." 
"Postdoctoral scholars and professionals in relevant fields including architecture or art who are US citizens or foreign nationals who have lived in the US for the three years immediately preceding the application deadline. Applicants must already hold their PhD or equivalent terminal degree at the time of application." "NEH Fellows will be expected to reside primarily at the American School of Classical Studies at Athens (though research may be carried out elsewhere in Greece)."</t>
  </si>
  <si>
    <t>International Affairs Fellowship for Tenured International Relations Scholars</t>
  </si>
  <si>
    <t>“The International Affairs Fellowship (IAF) for Tenured International Relations Scholars offers tenured academics from a variety of scholarly backgrounds practical experience in the foreign policy-making field through placement at a U.S. government agency, in Congress, or with an international organization. The fellowship is geared toward professors who propose to work on peace and security issues and who have limited experience working at a U.S. government agency, in Congress, or at an international organization.”</t>
  </si>
  <si>
    <t>International Affairs Fellowship</t>
  </si>
  <si>
    <t>mid-career</t>
  </si>
  <si>
    <t>OTHER DEADLINE JULY 1                                                                                           "Established in 1967, the International Affairs Fellowship (IAF) is the hallmark fellowship program of CFR. It aims to bridge the gap between the study and making of U.S. foreign policy by creating the next generation of scholar-practitioners. The program offers its fellows the unique chance to experience a new field and gain a different perspective at a pivotal moment in their careers. Academics are thus placed in public service and policy-oriented settings, while government officials are placed in scholarly settings."</t>
  </si>
  <si>
    <t>Other deadline 11/16. All proposals to: Chemical Measurement and Imaging (CMI); Chemistry of Life Processes (CLP); Environmental Chemical Sciences (ECS); and Macromolecular, Supramolecular and Nanochemistry (MSN)
"CHE supports a large and vibrant research community engaged in fundamental discovery, invention, and innovation in the chemical sciences. The projects supported by CHE explore the frontiers of chemical science, develop the foundations for future technologies and industries that meet changing societal needs, and prepare the next generation of chemical researchers.
Some of the areas supported by CHE include:
designing, synthesizing and characterizing new molecules, surfaces, and nanostructures - especially those with a focus on sustainability;
increasing our fundamental understanding of molecules and their chemical transformations;
developing new tools for chemical discovery, including those in data discovery science where increasing volumes and varieties of data are harnessed to advance innovation;
determining structure-function relationships in biological systems and contributing to our understanding of the fundamental rules of life;
observing, manipulating, and controlling the behavior of matter and energy in nanometer dimensions such as the quantum regime;
understanding chemical processes in the environment;
enabling next-generation technologies in sensing, computing, modeling, and communications; and
solving complex chemical problems by the development of new theories, computations, and tools, including the synergistic combination of multiple types of instruments."</t>
  </si>
  <si>
    <t>Henry Belin Du Pont Research Grants &amp; Exploratory Research Grants</t>
  </si>
  <si>
    <t>OTHER DEADLINES:  3/31, 6/30
"Administered by the Center for the History of Business, Technology and Society, Hagley invites serious researchers to apply for one of our grants to defray the costs of an extended stay intended to use our collections.
All grants require applicants to explain how their project will contribute new information to previous scholarship and how Hagley’s research materials are pertinent to their project.
Exploratory grants are limited to one week and Henry Belin du Pont research grants may be up to 8 weeks. Researchers who first apply for an exploratory grant may ask for a longer research grant if our collections warrant more attention. Anyone can apply for one of these research grants, but only advanced graduate students are eligible for our Henry Belin du Pont dissertation grant and the Jefferson Scholars/Hagley Library fellowship.  Scholars with a Ph.D. may also apply for a four- or eight-month NEH-Hagley Postdoctoral Fellowship."</t>
  </si>
  <si>
    <t>Grants in Environment and Human Services</t>
  </si>
  <si>
    <t>programming
research</t>
  </si>
  <si>
    <t>OTHER DEADLINE April 30
"The Lawrence Foundation is a private family foundation focused on making grants to support environmental, education, human services and other causes.... The foundation is focused on making grants to support environmental, human services and other causes although our interests are fairly diverse and may lead us into other areas on an occasional basis. We make both program and operating grants."</t>
  </si>
  <si>
    <t>SAR</t>
  </si>
  <si>
    <t>Weatherhead Fellowship</t>
  </si>
  <si>
    <t>Social Sciences
A&amp;H</t>
  </si>
  <si>
    <t>$40,000  in addition to low-cost housing and free office space on the SAR campus.</t>
  </si>
  <si>
    <t xml:space="preserve">“Two nine-month residential fellowships are available for scholars working in the humanities or social sciences. Scholars with doctorates who plan to write their books and PhD candidates who plan to write their dissertations are eligible.”
</t>
  </si>
  <si>
    <t>"The grant program is open only to STP members who meet the ECP definition below.  Grant funds can be used to defray the costs of attending psychology teaching conferences or conferences with a significant teaching of psychology component.
STP defines an Early Career Psychologist as an individual who is within ten (10) years post-graduate degree AND within ten (10) years of beginning teaching."</t>
  </si>
  <si>
    <t>Richard C. MacDonald Iliad Endowment for Archaeological Research</t>
  </si>
  <si>
    <t>Research
project</t>
  </si>
  <si>
    <t>"This grant will be awarded to projects that support research at the historical site of Ancient Troy and sites in the wider region of Western Turkey during the third to first millennia B.C.E., or the regions that supply context to the study of Troy, including but not limited to Anatolia (modern Turkey), southeastern Europe, the Aegean and Crete during the third to first millennia B.C.E.
The grant may be used for the purchase of innovative technologies as part of the research, including but are not limited to remote sensing, geographic information systems (GIS), geophysical techniques, LiDAR, global positioning systems (GPS), and space imaging radar."</t>
  </si>
  <si>
    <t>Julie Herzig Desnick Endowment Fund for Archaeological Field Surveys</t>
  </si>
  <si>
    <t>early career (preference given to &lt;8 years postdoc)</t>
  </si>
  <si>
    <t>"The Julie Herzig Desnick Fund provides grants to archaeologists to start new archaeological survey projects. The awards are intended for projects involving field survey on the ground or a combination of field survey and remote sensing methods, rather than those based entirely on satellite imagery or other remote sensing data. Geophysical survey projects are also eligible. While all are encouraged to apply, preference will be given to archaeologists at an early stage in their careers (within 8 years of the receipt of the PhD)."</t>
  </si>
  <si>
    <t>The Ellen and Charles Steinmetz Endowment Fund for Archeology</t>
  </si>
  <si>
    <t>"The Steinmetz Fund will support the use of technology in archaeological research by providing grants to archaeological projects that make innovative use of technological tools and methods. Normally, such projects will have a fieldwork element. However, research conducted in a laboratory setting that employs technology may also be eligible for a grant. While all are encouraged to apply, priority will be given to new projects proposed by archaeologists at an early stage in their careers (within 8 years of the receipt of the PhD)."</t>
  </si>
  <si>
    <t>The Kathleen and David Boochever Endowment Fund for Fieldwork and Scientific Analyses</t>
  </si>
  <si>
    <t>"The Boochever Fund will support both fieldwork and laboratory research informed by new technologies. While the fund’s primary purpose is to help defray the start-up costs of new projects, archaeologists exploring innovative applications of new technologies in any stage of their work are welcome to apply. 
Projects may concern any location in the world and any time period, but must be designed to address significant questions about the human past through the use of state-of-the-art technology, understood broadly to include not only digital tools and approaches, but also those developed in engineering, chemistry, biology, physics, etc."</t>
  </si>
  <si>
    <t xml:space="preserve">Fellowship </t>
  </si>
  <si>
    <t>early mid-career</t>
  </si>
  <si>
    <t>Fellowships will be awarded for 2022-2022 in Photography and Film Studies.
"The Howard Foundation awards a limited number of fellowships each year for independent projects in selected fields, targeting its support specifically to early mid-career individuals, those who have achieved recognition for at least one major project....
Fellowships are offered in a five-year sequence of fields. Successful candidates are given the option of postponing receipt of their fellowship, so as to make the Howard competition accessible to those whose personal plans do not line up exactly with the year in which awards are offered in their fields."</t>
  </si>
  <si>
    <t>$5,000 and a certificate, + $10,000 to an eligible non-profit institution, designated by recipient.</t>
  </si>
  <si>
    <t>"The Camille and Henry Dreyfus Foundation established the Award for Encouraging Women into Careers in the Chemical Sciences in 1993 to recognize significant accomplishments by individuals who have stimulated or fostered the interest of women in chemistry, promoting their professional development as chemists or chemical engineers."</t>
  </si>
  <si>
    <t>collaboration</t>
  </si>
  <si>
    <t>"to bring together individuals to engage in planned activities to promote the teaching of psychology or who desire to work together to think about the ways in which the teaching of psychology can be improved. Proposed activities could take the form of conferences or small meetings devoted to teaching-related topics, or could take the form of collaborative activities between specific individuals from different institutions that are intended to improve the teaching of psychology in some way."</t>
  </si>
  <si>
    <t>American Fellowships Postdoctoral Research Leave Fellowship</t>
  </si>
  <si>
    <t>non-tenured</t>
  </si>
  <si>
    <t>"The primary purpose of the Postdoctoral Research Leave Fellowship is to increase the number of women in tenure-track faculty positions and to promote equality for women in higher education. This fellowship is designed to assist the candidate in obtaining tenure and further promotions by enabling her to spend a year pursuing independent research."</t>
  </si>
  <si>
    <t>A&amp;H
Music</t>
  </si>
  <si>
    <t>&lt;$3,000</t>
  </si>
  <si>
    <t>"This fellowship, endowed in honor of Adrienne Fried Block, shall be given to support scholarly research leading to publication on topics that illuminate musical life in large urban communities. Preference shall be given to projects that focus on the interconnections among the groups and organizations present in these metropolitan settings and their participation in the wide range of genres that inform the musical life and culture of their cities."</t>
  </si>
  <si>
    <t>Sciences
Public Policy</t>
  </si>
  <si>
    <t>Fellowship in DC</t>
  </si>
  <si>
    <t>$75,000-$100,000</t>
  </si>
  <si>
    <t>"AAAS Science &amp; Technology Policy Fellowships (STPF) provide opportunities to outstanding scientists and engineers to learn first-hand about policymaking while contributing their knowledge and analytical skills to the federal policymaking process. Fellows serve yearlong assignments in the executive, legislative and judicial branches of the federal government in Washington. Each year, the program adds to a growing corps over 3,000 strong of policy-savvy leaders working across academia, government, nonprofits and industry to serve the nation and the world."</t>
  </si>
  <si>
    <t>$5,000-$23,000</t>
  </si>
  <si>
    <t>"The American-Scandinavian Foundation (ASF) offers fellowships (up to $23,000) and grants (up to $5,000) to individuals to pursue research, study or creative arts projects in one or more Scandinavian country for up to one year. Grants are considered suitable for post-graduate scholars, professionals, and candidates in the arts to carry out research or study visits of one to three months duration. Fellowships are intended to support a year-long stay.  Priority is given to candidates at the graduate level for dissertation-related study or research."</t>
  </si>
  <si>
    <t>Rome Prize</t>
  </si>
  <si>
    <t>$16,000 half-term
$28,000 full-term plus room, board, work space</t>
  </si>
  <si>
    <t>"For over a century, the AMERICAN ACADEMY IN ROME has awarded the Rome Prize to support innovative and cross-disciplinary work in the arts and humanities. Rome Prize Fellowships include a stipend, room and board, and an individual work space at AAR’s eleven-acre campus in Rome. 
Fellowships are awarded in the following disciplines:
Ancient Studies 
Architecture 
Design (includes graphic, industrial, interior, exhibition, set, costume, and fashion design, urban design, city planning, engineering, and other design fields)
Historic Preservation and Conservation
Landscape Architecture (includes environmental design and planning, landscape/ecological urbanism, landscape history, sustainability and ecological studies, and geography)
Literature (includes fiction, literary nonfiction, and poetry)
Medieval Studies
Modern Italian Studies
Musical Composition 
Renaissance and Early Modern Studies
Visual Arts (includes painting, sculpture, drawing, photography, film/video, installation, new media, digital arts, and other visual arts fields)"</t>
  </si>
  <si>
    <t>$4,200 a month</t>
  </si>
  <si>
    <t>"Long-Term Fellowships are intended to support individual scholarly research and promote serious intellectual exchange through active participation in the Newberry’s scholarly activities, including Fellows’ Seminars and Weekly Colloquium"</t>
  </si>
  <si>
    <t>Archealogy of Portugal Fellowships</t>
  </si>
  <si>
    <t>$2,000-7,500</t>
  </si>
  <si>
    <t>"he fellowship can be used to support research and study related to the archaeology of Portugal, including the Autonomous Regions of the Azores and Madeira. This includes, but is not limited to, excavations, research projects, colloquia, symposia, publications, and travel for research or to academic meetings for the purpose of presenting papers on the archaeology of Portugal. Funds may not be used for institutional overhead, institutional administrative recovery costs, or institutional indirect costs.
The fellowship can also be used by Portuguese nationals (archaeologists and archaeology graduate students) to support research and study in the US. Individuals applying for this type of support are not limited to the study of Portuguese archaeology and funds can be used to research and study any archaeological region and topic.</t>
  </si>
  <si>
    <t>Olivia James Traveling Fellowship</t>
  </si>
  <si>
    <t>early career (preference given to &lt;5 years postdoc)</t>
  </si>
  <si>
    <t>"For travel and study to be conducted between July 1 of the award year and the following June 30. Preference will be given to projects of at least a half-year's duration. The award is to be used for travel and study in Greece (the modern state), Cyprus, the Aegean Islands, Sicily, southern Italy (that is, the Italian provinces of Campania, Molise, Apulia, Basilicata, and Calabria), Asia Minor (Turkey) or Mesopotamia (that is, the territory between the Tigris and Euphrates rivers, that is modern Iraq and parts of northern Syria and eastern Turkey)."</t>
  </si>
  <si>
    <t>Summer/Short-Term Research Publication Grants</t>
  </si>
  <si>
    <t>"Summer/Short-Term Research Publication Grants provide support to scholars to prepare research manuscripts for publication and to independent researchers to prepare research for publication. Preference will be given to applicants whose work supports the vision of AAUW: to break through educational and economic barriers so that all women have a fair chance."</t>
  </si>
  <si>
    <t>Language &amp; Area Studies</t>
  </si>
  <si>
    <t>OTHER DEADLINE May 1
"The Trust for Mutual Understanding awards grants to American nonprofit organizations to support direct exchange in the arts and the environment between professionals from the United States and TMU’s geographic region: the Baltic States; Central Asia; Central, East, Southeast Europe; Mongolia; and Russia.
Priority consideration is given to projects that involve direct, in-depth professional interaction, with the potential for sustained collaboration; that show evidence of professional accomplishment and innovation; and/or that respond to social contexts and engage local communities."</t>
  </si>
  <si>
    <t>Samuel H. Kress Grant for Research and Publication in Classical Art and Architecture</t>
  </si>
  <si>
    <t>Publication</t>
  </si>
  <si>
    <t>"funds publication preparation, or research leading to publication, undertaken by professional members of the AIA. Its purpose is to assist scholars in preparing, completing and publishing results of their research in Graeco-Roman Art and Architecture, and the broader Mediterranean world of Classical antiquity. Awards may be used for research leading to the publication of an art historical monograph or for costs associated with publication, such as image licensing."</t>
  </si>
  <si>
    <t>Publications Subvention Program</t>
  </si>
  <si>
    <t>"This program offers subventions from the AIA’s von Bothmer Publication Fund in support of new book-length publications in the field of Classical Archaeology (defined as Greek, Roman, and Etruscan archaeology and art history). Particularly welcome are projects that publish the work of first-time authors or represent the publication of final reports of primary data from sites already excavated or surveyed, but are still unpublished."</t>
  </si>
  <si>
    <t>"The John F. Kennedy Library Foundation provides funds to scholars and students interested in researching the Ernest Hemingway Collection. The grants (up to $5,000) are intended to help defray travel, living, and other research expenses. Grant applications are evaluated on the basis of expected utilization of the Collection, the proposed project’s contributions to Hemingway and/or related studies, and the applicant’s qualifications."</t>
  </si>
  <si>
    <t>Grants-in-Aid for Research</t>
  </si>
  <si>
    <t>"The Rockefeller Archive Center's competitive research stipend program provides awards of up to $5000 for reimbursement of receipted expenses for travel and accommodation in conjunction with research conducted at the RAC. The research stipends are designed to foster, promote, and support research by serious scholars in the collections located at the Rockefeller Archive Center."</t>
  </si>
  <si>
    <t>Research Program</t>
  </si>
  <si>
    <t>$500,000 - $2M</t>
  </si>
  <si>
    <t>OTHER DEADLINE May 1                                                                                                        "The Research Program seeks to benefit humanity by supporting projects in two specific areas (1) medical research and (2) science and engineering, that are distinctinve and novel in their approach, question the prevailing paradign, or have the potential to break open new territory in their field."</t>
  </si>
  <si>
    <t>OTHER DEADLINES May 1 
"Post-Ph.D. Research Grants are awarded to individuals holding a Ph.D. or equivalent degree to support individual research projects. The program contributes to the Foundation's overall mission to support basic research in anthropology and to ensure that the discipline continues to be a source of vibrant and significant work that furthers our understanding of humanity's cultural and biological origins, development, and variation. The Foundation supports research that demonstrates a clear link to anthropological theory and debates, and promises to make a solid contribution to advancing these ideas. There is no preference for any methodology, research location, or subfield. The Foundation particularly welcomes proposals that employ a comparative perspective, can generate innovative approaches or ideas, and/or integrate two or more subfields."</t>
  </si>
  <si>
    <t>Pre-K-6 Classroom Research</t>
  </si>
  <si>
    <t>"The purpose of this grant is to support and encourage classroom-based research in precollege mathematics education in collaboration with college or university mathematics educators. For 2020-21, grants with a maximum of $6,000 each will be awarded to mathematics educators or classroom teachers* currently teaching mathematics at the grades Pre-K-6 level. The research must be a collaborative effort involving a college or university mathematics educator (a mathematics education researcher or a teacher of mathematics learning, teaching, or curriculum) and one or more grades Pre-K-6 classroom teachers."</t>
  </si>
  <si>
    <t>&lt;$10,000</t>
  </si>
  <si>
    <t xml:space="preserve">"Research projects in any phase of development are eligible for funding (e.g., materials design, data collection, manuscript writing). However, the proposed project must have a high probability of producing a product that will be presented and/or published in a peer-reviewed outlet in a timely manner.  Proposals will be evaluated on the degree to which proposal fits STP’s description of the SoTL. Proposals that align with the STP President’s preferred themes, will be given top priority. The 2020 themes will be announced later this year." </t>
  </si>
  <si>
    <t>Harriet and Leon Pomerance Fellowship</t>
  </si>
  <si>
    <t>"To support an individual project of a scholarly nature, related to Aegean Bronze Age Archaeology, and to be conducted between July 1 of the award year and the following June 30.  Preference will be given to candidates whose project requires travel to the Mediterranean for the purpose stated above.  AIA fellowship funds may not be used for institutional overhead, institutional administrative recovery costs, or institutional indirect costs."</t>
  </si>
  <si>
    <t>DEADLINE: first Monday in November each year
"Resident scholar fellowships are awarded annually by the School for Advanced Research (SAR) to up to six scholars who have completed their research and who need time to prepare manuscripts or dissertations on topics important to the understanding of humankind. Resident scholars may approach their research from the perspective of anthropology or from related fields such as history and sociology. Scholars from the humanities and social sciences are encouraged to apply."</t>
  </si>
  <si>
    <t>First Tuesday in November Annually
"The Directorate for Biological Sciences (BIO) awards Postdoctoral Research Fellowships in Biology to recent recipients of the doctoral degree for research and training in selected areas supported by BIO and with special goals for human resource development in biology.  The fellowships encourage independence at an early stage of the research career to permit Fellows to pursue their research and training goals in the most appropriate research locations regardless of the availability of funding for the Fellows at that site....
The fellowships are also designed to provide active mentoring of the Fellows by the sponsoring scientists who will benefit from having these talented young scientists in their research groups. The research and training plan of each fellowship must address important scientific questions within the scope of the BIO Directorate and the specific guidelines in this fellowship program solicitation."</t>
  </si>
  <si>
    <t>Individual Residential Fellowships</t>
  </si>
  <si>
    <t>$75,000/one year</t>
  </si>
  <si>
    <t>*No new DEADLINE as of 7.1.21*                                                                                   "In addition to scholars working in fields of the behavioral and social sciences, those in other areas will also be considered for fellowships if their work has human behavioral and social dimensions.... Fellows must reside during their fellowship term in a community within ten miles of the Center. CASBS partners with several entities to provide funding for some residential fellows whose research projects focus on certain topics.
An applicant’s statement of interest in one of these options does not bear on the CASBS fellowship selection committee’s process, nor does it guarantee that an applicant will receive this particular fellowship in the event that they are awarded a CASBS fellowship."</t>
  </si>
  <si>
    <t>*No new DEADLINE as of 7.1.21*                                                                               "The Society for Classical Studies invites applications for a one-year Fellowship which will enable an American scholar to participate in the work of the Thesaurus Linguae Latinae (TLL) Institute in Munich. Fellows at the TLL develop a broadened perspective of the range and complexity of the Latin language and culture from the classical period through the early Middle Ages, contribute signed articles to the Thesaurus, have the opportunity to participate in a collaborative international research project in a collegial environment, and work with senior scholars in the field of Latin lexicography."</t>
  </si>
  <si>
    <t>$3,000/month for short term
$50,000 for 9-12 months</t>
  </si>
  <si>
    <t>*No new DEADLINE as of 7.1.21*                                                                                         "The Huntington Library awards over 150 research fellowships annually. Recipients of all fellowships are expected to be in continuous residence at The Huntington and to participate in, and make a contribution to, its intellectual life.
The Huntington is a collections-based research institute, which promotes humanities scholarship on the basis of its library holdings and art collections. The Library holds more than eleven million items that span the 11th to 21st centuries. Its diverse materials center on fourteen intersecting collection strengths:
American history
architecture, landscape design, and planning
British history
California
early printed books
Hispanic history and culture
history of science, technology and medicine
literature in English
medieval manuscripts
maps and atlases
the Pacific Rim
prints, posters, and ephemera
photography
Western American history
The Art Collections feature European and American art spanning more than 500 years, with diverse strengths ranging from Renaissance Italian bronzes to British Grand Manner portrait paintings to early American folk art to twentieth-century drawings, prints, and photography.
In addition to reinterpreting the well-known highlights of our collections, thereby connecting them with new and broader audiences, we aim to inspire future generations of scholars and artists by providing greater access to all of our collections."</t>
  </si>
  <si>
    <t>*No new DEADLINE as of 4.2.21*                                                                                         "The Dibner Program in the History of Science offers scholars the opportunity to work in the Huntington’s Burndy Library and its other resources for the study of history of science and technology."</t>
  </si>
  <si>
    <t>Dynamics of Integrated Socio-Environmental Systems</t>
  </si>
  <si>
    <t>"The DISES Program supports research projects that advance basic scientific understanding of integrated socio-environmental systems and the complex interactions (dynamics, processes, and feedbacks) within and among the environmental (biological, physical and chemical) and human ("socio") (economic, social, political, or behavioral) components of such a system.  The program seeks proposals that emphasize the truly integrated nature of a socio-environmental system versus two discrete systems (a natural one and a human one) that are coupled.  DISES projects must explore a connected and integrated socio-environmental system that includes explicit analysis of the processes and dynamics between the environmental and human components of the system."</t>
  </si>
  <si>
    <t>Association of Writers and Writing Programs</t>
  </si>
  <si>
    <t>Award Series</t>
  </si>
  <si>
    <t xml:space="preserve">“AWP sponsors the Award Series, an annual competition for the publication of excellent new book-length works. The competition is open to all authors writing in English regardless of nationality or residence, and is available to published and unpublished authors alike.” </t>
  </si>
  <si>
    <t>American Musicological Society</t>
  </si>
  <si>
    <t>Subventions for Publications</t>
  </si>
  <si>
    <t>“Through funding provided by the National Endowment for the Humanities, the Andrew W. Mellon Foundation, the Gladys Krieble Delmas Foundation, and the generous contributions of many individual donors, the Publications Committee of the American Musicological Society makes available funds to help with expenses involved in the publication of works of musical scholarship, including books, essay collections, articles, chapters in essay collections, special issues of journals, and works in non-print media.</t>
  </si>
  <si>
    <t>Creative Capital</t>
  </si>
  <si>
    <t>“Our pioneering venture philanthropy approach helps artists working in all creative disciplines realize their visions and build sustainable practices. Creative Capital provides each funded project with up to $50,000 in direct funding and career development services valued at $50,000, for a total commitment of up to $100,000 per project.”</t>
  </si>
  <si>
    <t>American Economic Association</t>
  </si>
  <si>
    <t>Summer Economics Fellowship Program</t>
  </si>
  <si>
    <t xml:space="preserve">“Sponsored by the American Economic Association and the National Science Foundation, summer economics fellowships are available to senior graduate students and junior faculty. During their residency, fellows participate as members of the research community while engaged in a research project of their own choosing. Fellows will be mentored by experienced economists both on scientific issues, and career issues such as negotiating publications, the job market, and advancement strategies. Fellows are encouraged to present a research seminar at the sponsoring agency during their fellowship.” </t>
  </si>
  <si>
    <t>American Institute of Architects</t>
  </si>
  <si>
    <t>New York Arnold W Brunner Grant</t>
  </si>
  <si>
    <t>Arts and Humanities</t>
  </si>
  <si>
    <t>“This grant furthers advanced study in any area of architectural investigation that will effectively contribute to the knowledge, teaching or practice of the art and science of architecture. The proposed investigation is to result in a final written work, design project, research paper, or other form of presentation.”</t>
  </si>
  <si>
    <t>Maintenance stipend per month: Rs 80,500
Research and travel per month:Rs 31,500
Dollar supplement per month: $115
Per dependent allowance per month:Rs 14,000</t>
  </si>
  <si>
    <t>"Senior Research Fellowships are available to scholars with a PhD or its equivalent. These grants are designed to enable scholars who specialize in South Asia to pursue further research in India and to establish formal affiliation with an Indian institution. Short-term awards are available for up to four months. Long-term awards are available for six to nine months. A limited number of humanists will be granted fellowships paid in dollars funded by the National Endowment for the Humanities....
Senior Scholarly/Professional Development Fellowships are available both to established scholars who have not previously specialized in Indian studies and to established professionals who have not previously worked or studied in India. Senior Scholarly/Professional Development Fellows are formally affiliated with an Indian institution. Awards may be granted for periods of six to nine months.
Senior Performing and Creative Arts Fellowships are available to accomplished practitioners of the performing arts of India and creative artists who demonstrate that study in India would enhance their skills, develop their capabilities to teach or perform in the U.S., enhance American involvement with India’s artistic traditions or strengthen their links with peers in India."</t>
  </si>
  <si>
    <t>Louis Gottschalk Prize</t>
  </si>
  <si>
    <t>Submission must be made by the publisher.
"This prize is for an outstanding historical or critical study on the eighteenth century and carries an award of $1,000. Louis Gottschalk (1899-1975) second President of ASECS, President of the American Historical Association, and for many years Distinguished Service Professor at the University of Chicago, exemplified in his scholarship the humanistic ideals that this award is meant to encourage."</t>
  </si>
  <si>
    <t>Membership</t>
  </si>
  <si>
    <t xml:space="preserve">IAS encourages applicants to submit by 10/15
“Founded in 1973, the School of Social Science takes as its mission the analysis of contemporary societies and social change. It is devoted to a pluralistic and critical approach to social research, from a multidisciplinary and international perspective…. To facilitate scientific engagement among the visiting scholars, the School defines a theme for each year. Approximately one half of Members selected pursue work related to it and contribute to a corresponding seminar....  The School of Natural Sciences will have several openings for members in theoretical physics, astrophysics, and biology for the academic year 2019-2020. The positions are at a postdoctoral or higher level in the areas of astrophysics, theoretical biology, cosmology, mathematical physics, quantum field theory, particle phenomenology, string theory and quantum gravity. Postdoctoral members are selected on their ability to conduct independent research but they frequently collaborate with each other, with faculty members at the Institute or Princeton University, and with researchers at other institutions.” </t>
  </si>
  <si>
    <t>"The Astronomy and Astrophysics Research Grants (AAG) Program provides individual investigator and collaborative research grants for observational, theoretical, laboratory, and archival data studies in astronomy and astrophysics. Acceptable research areas include the following: stellar astronomy and astrophysics; the astronomy and astrophysics of our Galaxy; extragalactic astronomy and astrophysics; and cosmology. Proposals for projects and tools that enable and enhance research in those areas are also acceptable. Proposals that are solely or predominantly for the acquisition, analysis, or interpretation of space-based data from NASA-supported missions will be returned without review."</t>
  </si>
  <si>
    <t>€2,000/month plus family allowance</t>
  </si>
  <si>
    <t>"The Max Weber Programme is the largest international postdoctoral programme in the Social Sciences and Humanities in Europe. It offers around 50-55 fully funded Fellowships to suitably qualified researchers from anywhere in the world who work in or across the relevant disciplines of the EUI (Economics, History, Law and Social and Political Sciences and their subfields). The working language of the Programme is English.
The aim of the MWP is to provide Fellows with the experience of membership of a vibrant academic community, to which they make a central contribution. It is unique in offering a structured Programme covering all aspects of an academic career, including support for academic writing in English, applying for research grants,  the opportunity to teach in some of Europe’s leading universities and to develop a strategy for a successful approach to the academic labour market."</t>
  </si>
  <si>
    <t>*No Access,  Updated as of 7.20.21*                                                                                       "The goal of the CPRC seed grant program is to help faculty lay the groundwork for intellectually innovative research projects in population, health, and society to the point where they can attract external funding. 
Substantively, the CPRC is interested in proposals that address one or more of our research priorities. Applications should 1) focus on the CPRC’s four primary research areas; 2) link cutting-edge research in neuroscience with the social, behavioral, or health sciences; 3) propose globally focused research; 4) develop research methodology; and/or propose policy-related research oriented toward pressing social issues in the domestic or international arena."</t>
  </si>
  <si>
    <t>$70,000/yr</t>
  </si>
  <si>
    <t>*No new DEADLINE as of 7.1.21*                                                                                         "The postdoctoral fellowship was established in 1986 by the NAEd with a grant from the Spencer Foundation. The fellowship program is intended to support early-career scholars working in critical areas of education research. To that end, the NAEd seeks to fund proposals that promise to make significant scholarly contributions to the field of education and to advance the careers of the recipients."</t>
  </si>
  <si>
    <t>"The multi-agency Ecology and Evolution of Infectious Diseases program supports research on the ecological, evolutionary, and social principles and processes that influence the transmission dynamics of infectious diseases. The central theme of submitted projects must be quantitative or computational understanding of pathogen transmission dynamics. The intent is discovery of principles of infectious disease transmission and testing mathematical or computational models that elucidate infectious disease systems. Projects should be broad, interdisciplinary efforts that go beyond the scope of typical studies. They should focus on the determinants and interactions of transmission among humans, non-human animals, and/or plants. This includes, for example, the spread of pathogens; the influence of environmental factors such as climate; the population dynamics and genetics of reservoir species or hosts; the feedback between ecological transmission and evolutionary dynamics; and the cultural, social, behavioral, and economic dimensions of pathogen transmission. Research may be on zoonotic, environmentally-borne, vector-borne, or enteric pathogens of either terrestrial or freshwater systems and organisms, including diseases of animals and plants, at any scale from specific pathogens to inclusive environmental systems. Proposals for research on disease systems of public health concern to developing countries are strongly encouraged, as are disease systems of concern in agricultural systems. Investigators are encouraged to develop the appropriate multidisciplinary team, including for example, modelers, ecologists, bioinformaticians, genomics researchers, social scientists, economists, epidemiologists, evolutionary biologists, entomologists, parasitologists, microbiologists, bacteriologists, virologists, pathologists or veterinarians, with the goal of integrating knowledge across disciplines to enhance our ability to predict and control infectious diseases."</t>
  </si>
  <si>
    <t>Visiting Scholar Research Program</t>
  </si>
  <si>
    <t xml:space="preserve">“Institute for the Study of the Ancient World (ISAW) is a center for advanced scholarly research and graduate education, which aims to encourage particularly the study of the economic, religious, political and cultural connections between ancient civilizations. In an effort to embrace a truly inclusive geographical scope while maintaining continuity and coherence, the Institute focuses on the shared and overlapping periods in the development of cultures and civilizations around the Mediterranean basin, and across central Asia to the Pacific Ocean. The approaches of anthropology, archaeology, geography, geology, history, economics, sociology, art history, digital humanities, and the history of science and technology are as integral to the enterprise as the study of texts, philosophy, and the analysis of artifacts.
ISAW anticipates appointing visiting scholars in several different categories for the 2022-23 academic year. Applicants in all categories should be individuals of scholarly distinction or promise in any relevant field of ancient studies who will benefit from the stimulation of working in an environment with colleagues in other disciplines. Scholars with a history of interdisciplinary exchange and scholars whose academic interests include parts of the ancient Old World that are often underrepresented in traditional academic departments, including Africa, Central Asia, South Asia, and Southeast Asia, are especially welcome and encouraged to apply.
Visiting scholars at ISAW have access to the Institute's own library, as well as to a wide range of other libraries at NYU, The Metropolitan Museum of Art (located a block away), and other institutions in New York City, including Columbia University and the New York Public Library. They are provided with their own carrel workspace.
Visiting scholars in all categories are expected to undertake research projects connected with ISAW's core academic mission, to be in residence at the Institute during the period for which they are appointed, to take part in the intellectual life of the community, to participate in ISAW seminars, to give a public lecture on their research at ISAW, and to play an active role in mentoring graduate students.
ISAW is prepared to host visiting scholars in three categories:
(1) Two-Year Visiting Assistant Professors: ISAW anticipates appointing up to two two-year Visiting Assistant Professors with a start-date of September 1, 2022. Holders of these positions are appointed as faculty, teach a graduate-level research seminar at ISAW, and teach one undergraduate course in an NYU department per academic year.
Visiting Assistant Professorships are reserved for early-career scholars who received their PhDs on or after May 1, 2019. Current doctoral students in their final year of dissertation work are also welcome to apply, but please note that official conferral of the PhD must take place prior to the start-date of the position (September 1, 2022).
Visiting Assistant Professors are paid a fixed salary. In 2021-22 the salary was $75,768. A research account is also provided to defray the cost of travel to conferences and other research expenses.
(2) One-Year Visiting Research Scholars: ISAW anticipates appointing up to three funded one-year Visiting Research Scholars for the 2022-23 academic year (September 1, 2022-August 31, 2023). Holders of these positions are typically appointed as professional research staff.
One-Year Visiting Research Scholar positions are available to scholars of all post-PhD career stages, from recently minted PhDs to retired academics. Current doctoral students in their final year of dissertation work are also welcome to apply, but please note that official conferral of the PhD must take place prior to the start-date of the position (September 1, 2022).
Visiting Research Scholars are paid a fixed salary. In 2021-22 the salary was $75,768. A research account is also provided to defray the cost of travel to conferences and other research expenses.
(3) Externally-Funded Visiting Research Scholars: ISAW is prepared to consider applications from postdoctoral scholars with their own funding from another source for appointments to be held during the 2022-23 academic year. Appointments can be for one semester (fall 2022 or spring 2023) or for the entire 2022-23 academic year.
Externally Funded Visiting Research Scholar positions are available to scholars of all post-PhD career stages, from recently minted PhDs to retired academics. Applicants should have their doctorates in hand by the beginning of their period of appointment at ISAW.
Holders of these positions do not receive any financial support from ISAW.
</t>
  </si>
  <si>
    <t>"Computational neuroscience provides a theoretical foundation and a rich set of technical approaches for understanding complex neurobiological systems, building on the theory, methods, and findings of computer science, neuroscience, and numerous other disciplines.
Through the CRCNS program, the National Science Foundation (NSF), the National Institutes of Health (NIH), the German Federal Ministry of Education and Research (Bundesministerium für Bildung und Forschung, BMBF), the French National Research Agency (Agence Nationale de la Recherche, ANR), the United States-Israel Binational Science Foundation (BSF), Japan’s National Institute of Information and Communications Technology (NICT), and the State Research Agency (Agencia Estatal de Investigación, AEI) and National Institute of Health Carlos III (Instituto de Salud Carlos III, ISCIII), both of Spain, support collaborative activities that will advance the understanding of nervous system structure and function, mechanisms underlying nervous system disorders, and computational strategies used by the nervous system.
Two classes of proposals will be considered in response to this solicitation:
Research Proposals describing collaborative research projects, and
Data Sharing Proposals to enable sharing of data and other resources."</t>
  </si>
  <si>
    <t>Division of Physics Investigator-Initiated Research Projects</t>
  </si>
  <si>
    <t>"The Division of Physics (PHY) supports physics research and the preparation of future scientists in the nation’s colleges and universities across a broad range of physics disciplines that span scales of space and time from the largest to the smallest and the oldest to the youngest.  The Division is comprised of disciplinary programs covering experimental and theoretical research in the following major subfields of physics: Accelerator Science; Atomic, Molecular and Optical Physics; Computational Physics; Elementary Particle Physics; Gravitational Physics; Integrative Activities in Physics; Nuclear Physics; Particle Astrophysics; Physics of Living Systems; Plasma Physics (supported under a separate solicitation); and Quantum Information Science."</t>
  </si>
  <si>
    <t>Gerda Henkel Stiftung</t>
  </si>
  <si>
    <t xml:space="preserve">“The focus of the funding activity is the support of German and foreign scientists in the field of historical humanities. An application is possible regardless of the nationality of the applicant and the place of work. The key decision criteria when awarding funding are the scientific importance and quality of a research project. Clear statements about the cost structure and the timing of the project proposals are absolutely expected. archeology
History
Historical Islamic Studies
Art history
Legal history
Pre- and early history
History of science
Type and scope of funding
Research fellowships can be applied for directly by postdoctoral researchers. They are used to carry out an individual research project. An institutional connection is not necessary. It is not possible to receive salary or old-age pension / pension and scholarship at the same time.
The funding period is usually between 1 and 24 months.”
</t>
  </si>
  <si>
    <t>Franklin Research Grants</t>
  </si>
  <si>
    <t>"The Franklin program is particularly designed to help meet the costs of travel to libraries and archives for research purposes; the purchase of microfilm, photocopies, or equivalent research materials; the costs associated with fieldwork; or laboratory research expenses."</t>
  </si>
  <si>
    <t xml:space="preserve">$3,700/month, 2-6 months </t>
  </si>
  <si>
    <t>*No new DEADLINE as of 7.1.21*                                                                           "Projects in all fields in the social sciences and humanities are eligible. Proposals in other areas that contribute to the understanding of Sri Lankan history, culture, or society are also invited. Applicants need not have prior research experience in Sri Lanka. The Fellowship includes a monthly stipend for a period of two to six months, reimbursement for round-trip airfare, and a limited budget for research expenses. Applicants should apply for whatever length of tenure between two and six months best suits their research needs and personal schedules."</t>
  </si>
  <si>
    <t>University of Utah-Tanner Institute</t>
  </si>
  <si>
    <t>External Fellowships</t>
  </si>
  <si>
    <t>$45,000. Fellows will also receive use of an office space and a Mac or PC, and library privileges.</t>
  </si>
  <si>
    <t xml:space="preserve">Through the research fellowship program, the Tanner Humanities Center seeks to encourage, support, and disseminate important humanistic research. Projects in any of the following fields are eligible for support: anthropology and archaeology, communication, history, philosophy, religious studies, ethnic/gender/cultural studies, jurisprudence, history/theory/criticism of the arts, languages, and linguistics, literature, creative writing, historical or philosophical issues in the social and natural sciences, or the professions. The Center encourages projects that are interdisciplinary and likely to contribute to substantive intellectual exchange among a diverse group of scholars. Visiting fellows may hold other support (sabbatical or other funding) during their fellowship but should note such support in their proposal or cover letter.
“The Tanner Humanities Center is a 27-year-old intellectual community. In support of this, Fellows are required to remain working in residence at the Tanner Humanities Center for the nine-month academic fellowship year (September through May), to participate in Center activities, and to contribute to the intellectual life of the University community. Fellows should notify Center staff of necessary short absences for research trips. Each fellow will present an academic talk on his or her work in progress. The Center’s Fellows meet regularly with center’s director in informal weekly or bi-weekly sessions.”
</t>
  </si>
  <si>
    <t>FREIE UNIVERSITÄT BERLIN</t>
  </si>
  <si>
    <t>The Berlin Program for Advanced German and European Studies offers up to one year of research support at the Freie Universität Berlin and is open to scholars in all social science and humanities disciplines, including historians working on the period since the mid-18th century.</t>
  </si>
  <si>
    <t>Ford Foundation</t>
  </si>
  <si>
    <t>Postdoctoral</t>
  </si>
  <si>
    <t xml:space="preserve">“Through its program of fellowships, the Ford Foundation seeks to increase the diversity of the nation’s college and university faculties by increasing their ethnic and racial diversity, maximize the educational benefits of diversity, and increase the number of professors who can and will use diversity as a resource for enriching the education of all students.
“Predoctoral, Dissertation, and Postdoctoral fellowships will be awarded in a national competition administered by the National Academies of Sciences, Engineering, and Medicine on behalf of the Ford Foundation. 
Eligibility to apply for a Ford fellowship is limited to:
All U.S. citizens, U.S. nationals, and U.S. permanent residents (holders of a Permanent Resident Card); individuals granted deferred action status under the Deferred Action for Childhood Arrivals Program;1 Indigenous individuals exercising rights associated with the Jay Treaty of 1794; individuals granted Temporary Protected Status; political asylees; and refugees, regardless of race, national origin, religion, gender, age, disability, or sexual orientation;
Individuals with evidence of superior academic achievement (such as grade point average, class rank, honors or other designations); and
Individuals committed to a career in teaching and research at the college or university level in the U.S.”
</t>
  </si>
  <si>
    <t>Congressional Science Fellowships</t>
  </si>
  <si>
    <t>"Fellowships are for one year, usually running September through August. Following a two-week orientation in Washington sponsored by the American Association for the Advancement of Science, incoming Congressional Fellows become acquainted with most aspects of their future work environment. Following interviews on the Hill, Fellows choose a congressional office — personal or committee staff — where they wish to serve. Fellows are expected to be capable of handling varied assignments, both technical and non-technical.
The Program's popularity with Members of Congress continues to grow. Typically, 150-200 congressional offices express interest in the 200-300 fellows who participate in the AAAS fellowship program. Former fellows express enthusiasm in their evaluations, and many elect to stay in the public policy arena; it is not unusual to find former fellows in influential positions in Washington."</t>
  </si>
  <si>
    <t xml:space="preserve">Public Scholar Program </t>
  </si>
  <si>
    <t>Application available 10/16/20</t>
  </si>
  <si>
    <t>Venetian Research Program for Individual Scholars</t>
  </si>
  <si>
    <t>*No new DEADLINE as of 7.1.21*                                                                                "The Foundation awards travel grants to individual scholars to support historical research on Venice and the former Venetian empire, and for the study of contemporary Venetian society and culture. Disciplines of the humanities and social sciences are eligible areas of study, including (but not limited to) archaeology, architecture, art, bibliography, economics, history, history of science, law, literature, music, political science, religion, and theater."</t>
  </si>
  <si>
    <t>Neuroscience Prize</t>
  </si>
  <si>
    <t>"Individuals from anywhere in the world who have conducted highly distinguished research in the field of the brain, spinal cord, or peripheral nervous system."</t>
  </si>
  <si>
    <t>$4,200/month for 5-10 months</t>
  </si>
  <si>
    <t>*No new DEADLINE as of 4.7.21*                                                                           "The John Carter Brown Library offers long-term fellowships, several of which are funded by the National Endowment for the Humanities (NEH), an independent agency of the U.S. Federal government. Additional long-term fellowships have been made possible by Donald L. Saunders; R. David Parsons; and The Reed Foundation, which has endowed the InterAmericas Fellowship (for research on the history of the West Indies and the Caribbean basin). Fellowships funded by the NEH are only available to citizens of the United States or to those applicants residing in the U.S. for the three years preceding application. Applicants of all nationalities, however, will be considered for long-term fellowships."</t>
  </si>
  <si>
    <t>Gender Studies</t>
  </si>
  <si>
    <t>*No new DEADLINE as of 3.17.21*                                                                                       "An award to be given annually for a graduate student, an academic, or an independent scholar for work on a dissertation, a first book manuscript, or a second book manuscript. The CLAGS Fellowship is open to intellectuals contributing to the field of LGBTQ studies. Intended to give the scholar the most help possible in furthering their work, the fellowship will be able to be used for research, travel, or writing support."</t>
  </si>
  <si>
    <t>National Archives</t>
  </si>
  <si>
    <t>Publishing Historical Records in Documentary Editions</t>
  </si>
  <si>
    <t xml:space="preserve">“The National Historical Publications and Records Commission seeks proposals to publish documentary editions of historical records. Projects may focus on the papers of major figures from American history or cover broad historical movements in politics, social reform, business, military, the arts, and other aspects of the national experience. The historical value of the records and their expected usefulness to broad audiences must justify the costs of the project.
The goal of this program is to provide access to, and editorial context for, the historical documents and records that tell the American story… Grants are awarded for collecting, describing, preserving, compiling, transcribing, annotating, editing, encoding, and publishing documentary source materials online and in print.” 
</t>
  </si>
  <si>
    <t>Sustaining Cultural Heritage Collections</t>
  </si>
  <si>
    <t>The Sustaining Cultural Heritage Collections program helps cultural institutions meet the complex challenge of preserving large and diverse holdings of humanities materials for future generations by supporting sustainable conservation measures that mitigate deterioration, prolong the useful life of collections, and support institutional resilience: the ability to anticipate and respond to disasters resulting from natural or human activity</t>
  </si>
  <si>
    <t>Anna C. &amp; Oliver C. Colburn Fellowships</t>
  </si>
  <si>
    <t>"To support studies undertaken at the American School of Classical Studies at Athens, Greece for no more than a year."</t>
  </si>
  <si>
    <t>National Education Association Foundation</t>
  </si>
  <si>
    <t>Learning and Leadership Grants</t>
  </si>
  <si>
    <t>Educators frequently need outside resources to engage in meaningful professional development due to limited district funding. Through our Learning &amp; Leadership grants, we support the professional development of NEA members by providing grants to individuals to participate in high-quality professional development like summer institutes, conferences, seminars, travel abroad programs, or action research.”</t>
  </si>
  <si>
    <t xml:space="preserve">Ruth K. Broad Foundation Extramural Award </t>
  </si>
  <si>
    <t xml:space="preserve">STEM Neuroscience
</t>
  </si>
  <si>
    <t>Next award period opens in 2022                                                                                         "The Foundation will be awarding a two-year grant, effective July 1, 2020, for $125,000 each year.  Applications will be evaluated on their potential for advancing understanding of neurodegenerative disorders, with particular interest in the potential relationship to Alzheimer’s disease. The research proposed should be an innovative direction of study for the applicant’s lab with the potential for high impact on the field."</t>
  </si>
  <si>
    <t>Adolph and Esther Gottlieb Foundation</t>
  </si>
  <si>
    <t>“The Foundation wishes to encourage artists who have dedicated their lives to developing their art, regardless of their level of commercial success. Please note that these grants are available only to mature individual visual artists. The Foundation defines maturity in this case as having worked for 20 years or more in a mature phase of art.”</t>
  </si>
  <si>
    <t>American Council of Learned Societies</t>
  </si>
  <si>
    <t>ACLS Digital Justice Seed Grants</t>
  </si>
  <si>
    <t>Library</t>
  </si>
  <si>
    <t>The American Council of Learned Societies is pleased to invite applications for Digital Justice Seed Grants, which are made possible by The Andrew W. Mellon Foundation.  ACLS Digital Justice Seed Grants are designed to promote and provide resources for newly formulated projects that diversify the digital domain, advance justice and equity in digital scholarly practice, and/or contribute to public understanding of racial and social justice issues.
This program addresses the inequities in the distribution of access to tools and support for digital work among scholars across various fields, those working with under-utilized or understudied source materials, and those in institutions with less support for digital projects. It promotes inclusion and sustainability by extending the opportunity to participate in the digital transformation of humanistic inquiry to a greater number of humanities scholars and projects at the beginning stages of development. Finally, ACLS Digital Justice Seed Grants offer scholars and project leaders general financial planning coaching from the Nonprofit Finance Fund. Such an opportunity provides a foundation upon which grant recipients can envision the possible long-term financial options for supporting their digital projects. ACLS Digital Justice Seed Grants support projects that pursue any of the following activities:
Engage with the interests and histories of people of color and other historically marginalized communities, including (but not limited to) Black, Latinx, and Indigenous communities; people with disabilities; and queer, trans, and gender nonconforming people.
Explore or experiment with new materials, methodologies, and research agendas by way of planning workshops, prototyping, and/or testing products.
Cultivate greater openness to new sources of knowledge and strategic approaches to content building and knowledge dissemination.  
ACLS Digital Justice Seed Grants range in the amount of $10,000-$25,000. Seed grants may be held for 12-18 months.
ACLS grants may not support projects whose focus is the production of creative works (e.g., novels or films), textbooks, straightforward translations, or purely pedagogical projects. Institutional indirect costs will not be covered.</t>
  </si>
  <si>
    <t>ACLS Digital Justice Development Grants</t>
  </si>
  <si>
    <t>The American Council of Learned Societies is pleased to invite applications for Digital Justice Development Grants, which are made possible by The Andrew W. Mellon Foundation.  ACLS Digital Justice Development Grants are designed to promote and provide resources for projects that diversify the digital domain, advance justice and equity in digital scholarly practice, and/or contribute to public understanding of racial and social justice issues.
This program addresses the inequities in the distribution of access to tools and support for digital work among scholars across various fields, those working with under-utilized or understudied source materials, and those in institutions with less support for digital projects. It promotes inclusion and sustainability by extending the opportunity to participate in the digital transformation of humanistic inquiry to a greater number of humanities scholars and projects at various stages of development. Finally, ACLS Digital Justice Development Grants offer scholars and project leaders the opportunity to receive tailored coaching from the Nonprofit Finance Fund in order to plan for the long-term stewardship and sustainability of their projects.
ACLS Digital Justice Development Grants support projects that pursue any of the following activities:
Engage with the interests and histories of people of color and other historically marginalized communities, including (but not limited to) Black, Latinx, and Indigenous communities; people with disabilities; and queer, trans, and gender nonconforming people.
Advance beyond the prototyping or proof-of-concept phase and articulates the next financial, technological, and intellectual phases of project development.
Cultivate greater openness to new sources of knowledge and strategic approaches to content building and knowledge dissemination. 
Support teams of scholars committed to exploring and pursuing the best available means for their projects’ long-term sustainability and impact
ACLS Digital Justice Development Grants range in the amount of $50,000 to $100,000.  Development grants may be held for 12-18 months. ACLS grants may not support projects whose focus is the production of creative works (e.g., novels or films), textbooks, straightforward translations, or purely pedagogical projects. Institutional indirect costs will not be covered.</t>
  </si>
  <si>
    <t>UO Library</t>
  </si>
  <si>
    <t>Le Guin Fellowship</t>
  </si>
  <si>
    <t>Purpose: The intention of the Le Guin Feminist Science Fiction Fellowship is to encourage research within collections in the area of feminist science fiction. The UO Libraries Special Collections and University Archives (SCUA) houses the papers of authors Ursula K. Le Guin, Joanna Russ, James Tiptree, Jr., Kate Wilhelm, Suzette Haden Elgin, Sally Miller Gearhart, Kate Elliot, Molly Gloss, Laurie Marks, and Jessica Salmonson, along with Damon Knight. SCUA is also in the process of acquiring the papers of other key feminist science fiction authors.
Fellowship description: This award supports travel for the purpose of research on, and work with, the papers of feminist science fiction authors housed in SCUA. These short-term research fellowships are open to undergraduates, master’s and doctoral students, postdoctoral scholars, college and university faculty at every rank, and independent scholars working in feminist science fiction. In 2023, $3,000 will be awarded to conduct research within these collections. The fellowship selection committee will include representatives from the UO Libraries Special Collections and University Archives (SCUA) and selected UO faculty.</t>
  </si>
  <si>
    <t>Sustaining Cultural Heritage Programs</t>
  </si>
  <si>
    <t>The Sustaining Cultural Heritage Collections program helps cultural institutions meet the complex challenge of preserving large and diverse holdings of humanities materials for future generations by supporting sustainable conservation measures that mitigate deterioration, prolong the useful life of collections, and support institutional resilience: the ability to anticipate and respond to disasters resulting from natural or human activity.
Cultural institutions, including libraries, archives, museums, and historical organizations, face an enormous challenge: to preserve humanities collections that facilitate research, strengthen teaching, and provide opportunities for lifelong learning.  To ensure the preservation of books and manuscripts, photographs, sound recordings and moving images, archaeological and ethnographic artifacts, art, and historical objects, cultural institutions must implement measures that slow deterioration and prevent catastrophic loss from emergencies resulting from natural or human activity.  They can accomplish this work most effectively through preventive conservation.  Preventive conservation encompasses managing relative humidity, temperature, light, and pollutants in collection spaces; providing protective storage enclosures and systems for collections; and safeguarding collections from theft, fire, floods, and other disasters.
As museums, libraries, archives, and other collecting institutions strive to be effective stewards of humanities collections, they must find ways to implement preventive conservation measures that are sustainable.  This program helps cultural repositories plan and implement preservation strategies that pragmatically balance effectiveness, cost, and environmental impact.  Sustainable approaches to preservation can contribute to an institution’s financial health, reduce its use of fossil fuels, and benefit its green initiatives, while ensuring that collections are well cared for and available for use in humanities programming, education, and research.  Sustainable preventive conservation measures may also aim to prepare and plan for, absorb, respond to, recover from, and more successfully protect collections in the event of emergencies resulting from natural or human activity.</t>
  </si>
  <si>
    <t>National Digital Program</t>
  </si>
  <si>
    <t>The National Digital Newspaper Program (NDNP) is a partnership between the National Endowment for the Humanities and the Library of Congress (LC) to create a national digital resource of historically significant newspapers published between 1690 and 1963, from all the states and U.S. jurisdictions. This searchable database will be permanently maintained at LC and will be freely accessible online (see the Chronicling America: Historic American Newspapers website).  The accompanying US Newspaper Directory of bibliographic and holdings information on the website directs users to newspaper titles available in all types of formats.  During the course of its partnership with NEH, LC will also digitize and contribute to the NDNP database a significant number of newspaper pages drawn from its own collections.</t>
  </si>
  <si>
    <t>Preservation and Access Education Training</t>
  </si>
  <si>
    <t xml:space="preserve">The Preservation and Access Education and Training program supports the development of knowledge and skills among professionals responsible for preserving and establishing access to humanities collections. Thousands of libraries, archives, museums, and historical organizations across the country maintain important collections of books and manuscripts, photographs, sound recordings and moving images, archaeological and ethnographic artifacts, art and material culture, electronic records, and digital objects. Preserving and making accessible such large and diverse holdings is an enormous challenge, making the need for knowledgeable staff significant and ongoing. 
NEH makes Preservation and Access Education and Training awards to organizations that offer national, regional, or statewide education and training programs across the pedagogical landscape. Projects may be at any stage of development, from early curriculum development to advanced implementation. Awards help the staff of cultural institutions, large and small, obtain the knowledge and skills they need to serve as effective stewards of humanities collections. Awards support projects that prepare the next generation of preservation professionals, as well as projects that introduce heritage practitioners to new information and advances in preservation and access practices. </t>
  </si>
  <si>
    <t>Recording Academy Grammy Museum</t>
  </si>
  <si>
    <t>museum</t>
  </si>
  <si>
    <t>With funding generously provided by The Recording Academy, the GRAMMY Museum Grants Program awards grants each year to organizations and individuals to support efforts that advance the archiving and preservation of the music and recorded sound heritage of North America, and research projects related to the impact of music on the human condition.
Grant funds have been utilized to preserve private collections as well as materials at the Library of Congress, the Smithsonian and numerous colleges and universities. Research projects have studied the links between music and early childhood education, treatments for illnesses and injuries common to musicians, and the impact of music therapy on populations from infants to the elderly. To date, over $7.7 million in grants have been awarded to nearly 450 grantees.</t>
  </si>
  <si>
    <r>
      <rPr>
        <rFont val="Calibri"/>
        <color rgb="FF1155CC"/>
        <sz val="10.0"/>
        <u/>
      </rPr>
      <t>Wabash Center for Teaching and Learning in Theology and Religion</t>
    </r>
    <r>
      <rPr>
        <rFont val="Calibri"/>
        <color rgb="FF366092"/>
        <sz val="10.0"/>
      </rPr>
      <t xml:space="preserve">  </t>
    </r>
  </si>
  <si>
    <t>“The Wabash Center provides funds for projects that enhance teaching and learning in the fields of religious and theological studies as taught in colleges, universities, and theological schools. We fund projects that focus on at least one of these areas: Improving teaching and learning practices, Encouraging research and study of pedagogical questions, Nurturing supportive teaching environments, and Understanding student learning.”</t>
  </si>
  <si>
    <t>"one award of six months for post-doctoral scholars at the institute in Amman through the National Endowment for the Humanities (NEH). The fellowship supports research in the humanities and disciplines of the social sciences that have humanistic content and employ humanistic methods. Fields of research include modern and classical languages, linguistics, literature, history, jurisprudence, philosophy, archaeology, comparative religion, ethics, and the history, criticism, and theory of the arts. Social and political scientists are encouraged to apply. Research topics should contribute to scholarship in Near Eastern studies."</t>
  </si>
  <si>
    <t>&lt;$1,500</t>
  </si>
  <si>
    <t>"Up to five awards of $1,500 each will be presented annually to enable recipients to complete substantive instructional research projects related to the teaching of psychology that will create resources suitable for posting on OTRP-Online or, if an empirical study, for publication in Teaching of Psychology or a SoTL journal. Proposals may be general in focus or specific to a particular psychology course or student population."</t>
  </si>
  <si>
    <t>Fellowship Awards in the Neurosciences</t>
  </si>
  <si>
    <t>fellowship research</t>
  </si>
  <si>
    <t>$225,000/3 years</t>
  </si>
  <si>
    <t xml:space="preserve">“Aimed at advancing cutting-edge investigations, the awards are presented to highly promising, early career scientists. At this critical juncture in young investigators' careers, when funding can be a challenge, the fellowship awards promote higher-risk, and potentially higher-reward, projects.”  </t>
  </si>
  <si>
    <t>Decision, Risk, and Management Sources</t>
  </si>
  <si>
    <t>Supports research that increases understanding of how individuals, organizations and societies make decisions. Areas include judgment, decision analysis and aids, risk analysis and communication, public policy decision making, and management science.</t>
  </si>
  <si>
    <t>Accountable Institutions and Behaviours</t>
  </si>
  <si>
    <t xml:space="preserve">The Accountable Institutions and Behavior (AIB) Program supports basic scientific research that advances knowledge and understanding of issues broadly related to attitudes, behavior, and institutions connected to public policy and the provision of public services. Research proposals are expected to be theoretically motivated, conceptually precise, methodologically rigorous, and empirically oriented. Substantive areas include (but are not limited to) the study of individual and group decision-making, political institutions (appointed or elected), attitude and preference formation and expression, electoral processes and voting, public administration, and public policy. This work can focus on a single case or can be done in a comparative context, either over time or cross-sectionally. The Program does not fund applied research. The Program also supports research experiences for undergraduate students and infrastructural activities, including methodological innovations. In addition, we encourage you to examine the websites for the National Science Foundation’s Law and Science (LS) and Security and Preparedness (SAP) programs.
</t>
  </si>
  <si>
    <t>Ethical and Responsible Research</t>
  </si>
  <si>
    <t>Ethical and Responsible Research (ER2) funds research projects that identify (1) factors that are effective in the formation of ethical STEM researchers and (2) approaches to developing those factors in all STEM fields that NSF supports.</t>
  </si>
  <si>
    <t>“The ARSC Research Grants Program is designed to encourage and support scholarship and publication by individuals in the field of sound recordings or audio preservation. Specific projects eligible for support include discography, bibliography, historical studies of the sound recording industry and its products, and any other subject likely to increase the public's understanding and appreciation of the lasting importance of recorded sound. ARSC encourages applications from individuals whose research forms part of an academic program at the master's or doctoral level.”</t>
  </si>
  <si>
    <t>Library Company of Philadeplhia</t>
  </si>
  <si>
    <t>$25,000-50,000</t>
  </si>
  <si>
    <t>"The Mellon Scholars Fellowship Program aims to promote research in the collections of the Library Company and to enhance the production of scholarly work in African American history of the 17th, 18th, and 19th centuries. Fellows are expected to conduct the majority of their research in the Library Company’s collections but may also use the collections of the Historical Society of Pennsylvania. Fellows must be in residence for the entire term of the award. All fellowship applications are due March 1, 2020, with a decision by April 15. The following research fellowships will be offered for 2020-2021:
Post-doctoral fellowship, with a stipend of $50,000, is tenable from September 1, 2020 through May 31, 2021. The award may be divided between two applicants, each of whom would receive $25,000 for the period September 1, 2020 to January 15, 2021 or January 15, 2021 to May 31, 2021. Recent recipients of the Ph.D. as well as senior scholars may apply, but applicants must hold a Ph.D. by September 1, 2020."</t>
  </si>
  <si>
    <t>€1040 plus book allowance</t>
  </si>
  <si>
    <t>"The Franz Werfel Scholarship therefore addresses young university teachers who are primarily concerned with Austrian literature. The scholarship program initiated in 1992 is open to applicants from all over the world. A Werfel grant holder can work as a visiting researcher in a university department or carry out specialist studies in a library, archive or other research institution. It is not just a scholarship in terms of material support for up to 18 months, but by the inclusion of a range of follow-up measures, ensures longer term sustainability. Follow-up measures include:
Annual invitation to a relevant professional symposium
One-month research grant every three years
Postdoctoral fellowship
Habilitation grant
Publication grant"</t>
  </si>
  <si>
    <t>Summer Programs in the Humanities for College Educators</t>
  </si>
  <si>
    <t>$1,200-3,300</t>
  </si>
  <si>
    <t>"Each year, NEH offers tuition-free opportunities for school, college, and university educators to study a variety of humanities topics."</t>
  </si>
  <si>
    <t>Botstiber Institute for Austrian-American Studies</t>
  </si>
  <si>
    <t>Grant Programs</t>
  </si>
  <si>
    <t>programming
project</t>
  </si>
  <si>
    <t>"The Botstiber Institute for Austrian-American Studies (BIAAS) seeks grant proposals for projects aimed at promoting an understanding of the historic relationship between the United States and Austria (including Habsburg Austria) in the fields of history, politics, economics, law, cultural studies, and public history. Grants may include support for related lectures, seminars, workshops, conferences, exhibits, publications, podcasts, and documentaries."</t>
  </si>
  <si>
    <t>"The Mary Baker Eddy Library awards fellowships annually. These are designed to support original contributions to scholarship. They help further the research of established scholars, graduate students, and recent graduates just beginning their academic careers.
Fellowships are for research work in our collections, centering on the papers of Mary Baker Eddy and records documenting the history of the Christian Science movement. Relevant areas of research include the fields of women’s history; spirituality and health; religious studies; nineteenth-century history; cultural and social history; architecture; and journalism."</t>
  </si>
  <si>
    <t>post-graduate scholars in all disciplines</t>
  </si>
  <si>
    <t>Proposals are invited from graduate and post-graduate scholars in all disciplines. Collaborative or group projects are also invited. [there is a temporary federal ban on study in Yemen]</t>
  </si>
  <si>
    <t>Bogiliasco Fellowships</t>
  </si>
  <si>
    <t>room, board, studio space for a month</t>
  </si>
  <si>
    <t xml:space="preserve"> Other deadline of 1/15/10                                                                                              In Bogliasco, Italy
“Bogliasco Fellowships are awarded to gifted individuals working in all the disciplines of the Arts and Humanities without regard to nationality, age, race, religion or gender.
To be eligible for the award of a Fellowship, applicants should demonstrate significant achievement in their disciplines, commensurate with their age and experience.... The Foundation gives preference to those whose applications suggest that they would be comfortable working in an intimate, international, multilingual community of scholars and artists.”</t>
  </si>
  <si>
    <t> APF Alexander Gralnick Research Investigator Prize</t>
  </si>
  <si>
    <t>*CLOSED* "The APF Alexander Gralnick Research Investigator Prize recognizes 'exceptional individuals working in the area of serious mental illness,' including but not limited to schizophrenia, bipolar disorder, and paranoia (delusional disorder). The prize was established to honor the late Alexander Gralnick, MD, and to reflect the breadth of his accomplishments and contributions in the field of serious mental illness. Dr. Gralnick was a Life Fellow of the American Psychiatric Association, and he received the American Psychiatric Association’s Distinguished Service Award and the Service to the Mentally Ill Award of the World Association for Psychosocial Rehabilitation. The prize aims to carry on Dr. Gralnick’s legacy by facilitating research by doctoral-level investigators in the area of serious mental illness."c</t>
  </si>
  <si>
    <t>Preservation and Access Research Development Grants</t>
  </si>
  <si>
    <t>The Research and Development program supports projects that address major challenges in preserving or providing access to humanities collections and resources.  These challenges include the need to find better ways to preserve materials of critical importance to the nation’s cultural heritage—from fragile artifacts and manuscripts to analog recordings and digital assets subject to technological obsolescence—and to develop advanced modes of organizing, searching, discovering, and using such materials.</t>
  </si>
  <si>
    <t>Human Networks and Data Science</t>
  </si>
  <si>
    <t xml:space="preserve">The Human Networks and Data Science program (HNDS) supports research that enhances understanding of human behavior by leveraging data and network science research across a broad range of topics.  HNDS research will identify ways in which dynamic, distributed, and heterogeneous data can provide novel answers to fundamental questions about individual and group behavior. HNDS is especially interested in proposals that provide data-rich insights about human networks to support improved health, prosperity, and security. 
HNDS has two tracks:  
(1) Human Networks and Data Science – Infrastructure (HNDS-I). Infrastructure proposals will address the development of data resources and relevant analytic techniques that support fundamental Social, Behavioral and Economic (SBE) research. Successful proposals will, within the financial resources provided by the award, construct user-friendly large-scale next-generation data resources and relevant analytic techniques and produce a finished product that will enable new types of data-intensive research. The databases or techniques should have significant impacts, either across multiple fields or within broad disciplinary areas, by enabling new types of data-intensive research in the SBE sciences.  
(2) Human Networks and Data Science – Core Research (HNDS-R). Core research proposals will advance theory in a core SBE discipline by the application of data and network science methods.  This includes the leveraging of large data sets with diverse spatio-temporal scales of measurement and linked qualitative and quantitative approaches, as well as multi-scale, multi-level network data and techniques of network analysis.  Supported projects are expected to yield results that will enhance, expand, and transform theory and methods, and that generate novel understandings of human behavior – particularly understandings that can improve the outcomes of significant societal opportunities and challenges.  HNDS-R encourages core research proposals that make innovative use of NSF-supported data networks, data bases, centers, and other forms of scientific infrastructure including those developed by HNDS-I (formerly RIDIR) projects.   
</t>
  </si>
  <si>
    <t>Preservation and Access Education and Training</t>
  </si>
  <si>
    <t>Up to $350,000</t>
  </si>
  <si>
    <t>“The Preservation and Access Education and Training program supports the development of knowledge and skills among professionals responsible for preserving and establishing access to humanities collections. Thousands of libraries, archives, museums, and historical organizations across the country maintain important collections of books and manuscripts, photographs, sound recordings and moving images, archaeological and ethnographic artifacts, art and material culture collections, electronic records, and digital objects. The challenge of preserving and making accessible such large and diverse holdings is enormous, and the need for knowledgeable staff is significant and ongoing.”</t>
  </si>
  <si>
    <t>ROLLING</t>
  </si>
  <si>
    <t>Secure and Trustworthy Cyberspace (SaTC)</t>
  </si>
  <si>
    <t>Supports research addressing cybersecurity and privacy, drawing on expertise in one or more of these areas: computing, communication and information sciences; engineering; economics; education; mathematics; statistics; and social and behavioral sciences.</t>
  </si>
  <si>
    <t>Research and Development</t>
  </si>
  <si>
    <t>Tier I-up to $75,000, Tier II-up to $350,000</t>
  </si>
  <si>
    <t xml:space="preserve">“The Research and Development program supports projects that address major challenges in preserving or providing access to humanities collections and resources.  These challenges include the need to find better ways to preserve materials of critical importance to the nation’s cultural heritage—from fragile artifacts and manuscripts to analog recordings and digital assets subject to technological obsolescence—and to develop advanced modes of organizing, searching, discovering, and using such materials.
“This program supports projects at all stages of development, from early planning and stand-alone studies, to advanced implementation.  Research and Development projects contribute to the evolving and expanding body of knowledge for heritage practitioners, and for that reason, outcomes may take many forms.  Projects may produce any combination of laboratory datasets, guidelines for standards, open access software tools, workflow and equipment specifications, widely used metadata schema, or other products.
“Research and Development supports work on the entire range of humanities collection types including, but not limited to, moving image and sound recordings, archaeological artifacts, born digital and time-based media, rare books and manuscripts, archival records, material culture, and art.  Applicants must demonstrate how advances in preservation and access through a Research and Development project would benefit the cultural heritage community by supporting humanities research, teaching, or public programming.
“Research and Development projects are encouraged to address one or more of the following areas of special interest: 
Preserving our audiovisual and digital heritage
Conserving our material past
Protecting our cultural heritage 
Serving under-represented communities”
</t>
  </si>
  <si>
    <t>American Library Association</t>
  </si>
  <si>
    <t>pther</t>
  </si>
  <si>
    <t>Carroll Preston Baber Research Grant</t>
  </si>
  <si>
    <t xml:space="preserve">Send one completed application cover sheet and proposal with budget to the ALA Staff Liaison via email.
The grant is given annually by the American Library Association to one or more librarians or library educators who will conduct innovative research that could lead to an improvement in services to any specified group(s) of people. The project should aim to answer a question that is of vital importance to the library community and the researchers should plan to provide documentation of the results of their work. The Jury would welcome proposals that involve innovative uses of technology and proposals that involve cooperation between libraries, between libraries and other agencies, or between librarians and persons in other disciplines.
</t>
  </si>
  <si>
    <t>The fellowship was made possible by a bequest from Helen M. Woodruff; Dr. Woodruff was herself the recipient of an AIA Fellowship in Mediaeval and Renaissance Archaeology in the 1920s, during which time she traveled to Rome and other locations in Europe. The Helen M. Woodruff Fellowship is awarded every other year to help support a Rome Prize at the American Academy in Rome, and provides for pre- or post-doctoral studies of archaeology and classical studies.</t>
  </si>
  <si>
    <t xml:space="preserve">A&amp;H
</t>
  </si>
  <si>
    <t>Tenured or tenure-track</t>
  </si>
  <si>
    <t>"The IHR ASU Fellows program provides funding for faculty or research teams to engage in a year of research related to the annual theme, share their research with the academic community (via lectures, a conference, or symposium), and produce a strong application for a large external grant. Fellowships provide one course buyout (in the spring semester) for each faculty member as well as research funds."</t>
  </si>
  <si>
    <t>9/.../21</t>
  </si>
  <si>
    <t>The Anthony Lukas Prize Project Awards</t>
  </si>
  <si>
    <t xml:space="preserve"> </t>
  </si>
  <si>
    <t>"Two J. Anthony Lukas Work-in-Progress Awards, in the amount of $25,000, are given annually to aid in the completion of significant works of nonficition on topics of American political or social concern. Recognizing that a nonfiction book based on extensive research often overtaxes the resources available to its author, the project envisions the Awards as a way of closing the gap between the time and money an author has and the time and money that finishing a book requires."</t>
  </si>
  <si>
    <t>By invitation</t>
  </si>
  <si>
    <t>Berkshire Taconic Community Foundation</t>
  </si>
  <si>
    <t>The Amy Clampitt Residency Program</t>
  </si>
  <si>
    <t>"The Amy Clampitt Fund seeks to benefit poetry and the literary arts by converting Amy Clampitt’s prior residence into a facility which would provide for a place to foster the study and promotion of poetry and/or a poet in residence through six to twelve month residencies at the Amy Clampitt House near Lenox. "</t>
  </si>
  <si>
    <t>The Teagle Foundation's grantmaking initiatives aim to strengthen teaching and learning in the arts and sciences and ensure the benefits of a liberal arts education are broadly accessible. "Proposals are welcomed by invitation and typically reflect a collaboration of four to six colleges/universities that exhibit an alignment of priorities and draw participants together as a community of practice. Although partners share goals, their project execution may vary from campus to campus, given their unique contexts."</t>
  </si>
  <si>
    <t>Creative Nonfiction Grant</t>
  </si>
  <si>
    <t>Writing</t>
  </si>
  <si>
    <t>Do not accept unsolicited applications.  They have invited Barnard to submit in the past in March. 
"The Whiting Creative Nonfiction Grant of $40,000 is awarded to writers in the process of completing a book of deeply researched and imaginatively composed nonfiction. The Whiting Foundation recognizes that these works are essential to our culture, but come into being at great cost to writers in time and resources. The grant is intended to encourage original and ambitious projects by giving recipients the additional means to do exacting research and devote time to composition."</t>
  </si>
  <si>
    <t>Sciences
Neuroscience</t>
  </si>
  <si>
    <t>"Investigators use physiological and structural, cellular and molecular imaging techniques to pilot-test novel clinical hypotheses on the brain or interactions between brain and immune cells. Requests for Proposals (RFPs) are sent annually to deans of U.S. Medical Schools and other invited biomedical research institutions."</t>
  </si>
  <si>
    <t>"Translational researchers apply to test promising therapies, from animal model research, in a small number of patients with devastating, currently untreatable, brain diseases. Also supported are studies to develop ethical guidelines for clinical brain research, and prognostic data based on treatment outcomes in patients with severe brain injuries or disorders. "</t>
  </si>
  <si>
    <t>By invitation?</t>
  </si>
  <si>
    <t>"The Ms. Foundation Public Voices Fellowship is an initiative that was created to amplify the voices of the underrepresented by disrupting the dominant narrative featured in mainstream media.
The fellowship, which was launched by The OpEd Project in partnership with the nation’s leading universities and foundations, will provide a diverse cohort of 19 Ms. Foundation grantees with resources, skills, and access, in order to ensure their ideas shape not only their respective fields of reproductive and economic justice and safety, but also the greater conversations about gender in America."</t>
  </si>
  <si>
    <t>By nomination
11/14/19</t>
  </si>
  <si>
    <t>Andrew Carnegie Fellows Program</t>
  </si>
  <si>
    <t>"established and emerging scholars"</t>
  </si>
  <si>
    <t>up tp $200,000</t>
  </si>
  <si>
    <t>*No new DEADLINE as of 6.11.20*                                                                               "The purpose of the Andrew Carnegie Fellows Program is to support high-caliber scholarship in the social sciences and humanities, making it possible for the recipients to devote time to research and writing that addresses pressing issues and cultural transitions affecting us at home and abroad.... Andrew Carnegie fellowships are open only to citizens or permanent residents of the United States whose names have been forwarded by a nominator designated by Carnegie Corporation of New York. Nominators include university presidents, leaders of think tanks, and editors of various newspapers, magazines, and university presses. Individuals may not apply for the fellows program."
"In 2019, there are four broad topic areas that include a wide range of suggested subtopics:
Strengthening U.S. democracy and exploring new narratives
Technological and cultural creativity—potential and perils
Global connections and global ruptures
Environments, natural and human"</t>
  </si>
  <si>
    <t>Laurance S. Rockefeller Visiting Faculty Fellowships</t>
  </si>
  <si>
    <t>"Fellows devote an academic year in residence at Princeton to research and writing about topics involving human values in public and private life. The program is open to scholars in all disciplines provided their research plans qualify. In recent years fellows have been drawn from fields including philosophy, political theory, literature, history, classics, economics and law, but this list is not meant to be exhaustive."</t>
  </si>
  <si>
    <t>Scolnick Prize in Neuroscience</t>
  </si>
  <si>
    <t>"The Edward M. Scolnick Prize Neuroscience is awarded annually by the McGovern Institute to recognize outstanding advances in the field of neuroscience. The prize, which is endowed through a gift from Merck to the McGovern Institute, consists of a $150,000 award, plus an inscribed gift. The recipient of the Scolnick Prize presents a public lecture at the McGovern Institute for Brain Research in the spring of 2020. A dinner for the recipient and invited guests follows the prize lecture. "</t>
  </si>
  <si>
    <t>Art Omi: Dance Residency</t>
  </si>
  <si>
    <t>A&amp;H
Creative Arts
Dance</t>
  </si>
  <si>
    <t>"Art Omi has five distinct residency programs. Through a competitive jury process, residents are chosen, invited to attend at no cost to themselves, except travel. Abundant, catered meals and comfortable, beautiful lodgings are provided in a scenic location in Columbia County, New York. Art Omi is two hours north of New York City by train." ... "Art Omi: Dance brings together ten accomplished dance artists from around the world for three weeks of creative exchange each summer. Residents experience each other’s creative process and the freedom to play in this collaborative residency program."</t>
  </si>
  <si>
    <t>CLOSED</t>
  </si>
  <si>
    <t>A&amp;H
A&amp;H
Creative Arts</t>
  </si>
  <si>
    <t>*CLOSED*                                                                                                              "Art Omi has five distinct residency programs. Through a competitive jury process, residents are chosen, invited to attend at no cost to themselves, except travel. Abundant, catered meals and comfortable, beautiful lodgings are provided in a scenic location in Columbia County, New York. Art Omi is two hours north of New York City by train." ... "Art Omi: Music invites twelve to fifteen musicians and composers from around the globe to come together for two and a half weeks each summer for a uniquely collaborative music making residency."</t>
  </si>
  <si>
    <t>HURI/Ukrainian Studies Research Fellowships</t>
  </si>
  <si>
    <t>8-10 years postdoc especially encouraged to apply</t>
  </si>
  <si>
    <t>$4,400/month plus travel</t>
  </si>
  <si>
    <t xml:space="preserve">The Institute's Research Fellowships “bring scholars from the international academic community to Harvard for focused research on projects in Ukrainian history, literature, philology, culture, and other related areas of study in the humanities and social sciences fields. In addition to carrying out their own research in residence, fellows participate in the scholarly life of the University during Harvard's academic year, and offer a formal presentation based on original research.”  </t>
  </si>
  <si>
    <t>Petro Jacyk Distinguished Fellowship</t>
  </si>
  <si>
    <t>$5,000/month plus travel</t>
  </si>
  <si>
    <t>“is designed to bring senior scholars to Harvard University for a period of five months for focused research in Ukrainian history, literature, philology, culture, and other related areas of study in the humanities and social sciences fields. While in residence, the Jacyk Distinguished Fellow will use the University's unique resources to work on significant and innovative projects in Ukrainian studies, and in general to further his or her professional development. In addition, the Jacyk Distinguished Fellow will preside over the Petro Jacyk Seminar in Ukrainian Studies: a forum presented as part of the HURI Seminar Series in Ukrainian Studies.”</t>
  </si>
  <si>
    <t xml:space="preserve"> *WILL NOT OPEN IN 2023* "NYSCF is soliciting applications from early career investigators for Innovator awards in neuroscience. The goal of this initiative is to foster truly bold, innovative scientists with the potential to transform the field of neuroscience. Applicants are encouraged in the fundamental areas of developmental, cellular, cognitive, and translational neuroscience, broadly interpreted. Applicants need not be working in areas related to stem cells."</t>
  </si>
  <si>
    <t>Lyle Spencer Research Awards</t>
  </si>
  <si>
    <t>$100,000-$1,000,000</t>
  </si>
  <si>
    <t>*CLOSED*                                                                                                                "The Foundation is intended, by Spencer's direction, to investigate ways in which education, broadly conceived, can be improved around the world. From the first, the Foundation has been dedicated to the belief that research is necessary to the improvement in education. The Foundation is thus committed to supporting high-quality investigation of education through its research programs and to strengthening and renewing the educational research community through its fellowship and training programs and related activities"
The Lyle Spencer Research Awards “support intellectually ambitious, large-scale education research projects with budgets between $100,000 and $1,000,000. This program encourages proposals initiated by scholars across a variety of disciplines and fields in an effort to create much-needed space for creative and ambitious research projects that promise to advance our understanding of educational practice and its improvement.”</t>
  </si>
  <si>
    <t>A&amp;H
Creative Arts
Writing</t>
  </si>
  <si>
    <t>housing, meals, work space</t>
  </si>
  <si>
    <t>"Hedgebrook is on Whidbey Island, about thirty-five miles northwest of Seattle. Situated on 48-acres of forest and meadow facing Puget Sound, with a view of Mount Rainier, the retreat hosts writers from all over the world for residencies of two to six weeks, at no cost to the writer.
Six writers are in residence at a time, each housed in a handcrafted cottage. They spend their days in solitude – writing, reading, taking walks in the woods on the property or on nearby Double Bluff beach. In the evenings, they gather in the farmhouse kitchen to share a home-cooked gourmet meal, their work, their process and their stories. The Writers in Residence Program is Hedgebrook’s core program, supporting the fully-funded residencies of approximately 40 writers at the retreat each year."</t>
  </si>
  <si>
    <t>Contact director</t>
  </si>
  <si>
    <t>Half of salary or up to $90,000 for non-academics</t>
  </si>
  <si>
    <t>*No new DEADLINE as of 2.10.21*  
"Established in 2015 and now in its third year of growth, the Berggruen Fellowship Program is a cornerstone of the Institute’s mission to nurture ideas that shape the future. Our partner universities now include: Harvard, Stanford, Oxford, New York University, the University of Southern California, and Peking and Tsinghua Universities."
"The Berggruen Institute provides Residential and Research Fellowships. Residential Fellowships are available in all program areas of the Institute as year-long stipends for mid-career to senior Fellows of outstanding quality. They offer the opportunity for a year of highly focused research and writing on the programmatic questions addressed by the Berggruen Institute’s great transformations. Research Fellowships are available through the Transformations of the Human program as a three-year Fellowship designed for early career scholars who have recently finished their PhD. Typically five to seven Fellows are admitted annually to work in AI and Biotech labs with the aim of building up philosophical and artistic conversations within the lab context."</t>
  </si>
  <si>
    <t>Defunct</t>
  </si>
  <si>
    <t>Education
Cognitive Science</t>
  </si>
  <si>
    <t>&lt;$2,500,000/5 years</t>
  </si>
  <si>
    <t>*No new DEADLINE as of 2.12.21*  
"The Teachers as Learners (TAL) program will emphasize a cognitive science perspective on teachers as learners – including a focus on the cognitive constraints that guide teacher thinking and change in attitudes, knowledge, skills and behaviors. We need to know what aspects of cognition (e.g., memory, knowledge, goals, expertise, collaboration) help explain teachers’ learning and change, particularly as it relates to adopting evidence-based practices in classroom contexts.
Understanding teachers as learners in the context of the many influences on teacher change across career trajectories is an important but understudied area of translational research with the opportunity for impact on both research and educational practice.  Understanding teachers as learners from a cognitive science perspective would advance the implementation of policies aimed at evidence-based reforms. We acknowledge that teaching occurs in a complex context and we want to situate the work in that context, but the focus of this program is on studying the cognitive dimensions of teacher learning as it takes place within these rich socio-cultural and institutional contexts, rather than the contexts themselves. A survey of the current landscape reveals that there is significant focus on small­scale experimental work on student cognition and on descriptive work on teaching – but the lack of a cognitive science framework for how teachers learn to process, evaluate, and improve their use of evidence­based practices within a complex, dynamic system."</t>
  </si>
  <si>
    <t>DEFUNCT</t>
  </si>
  <si>
    <t>Experimental Elementary Particle Physics</t>
  </si>
  <si>
    <t>"The Elementary Particle Theory program encompasses different theoretical tools for understanding the interaction of elementary particles at different energy scales. These include String Theory, Quantum Field Theory, Lattice Field Theory, Effective Field Theories, and Phenomenology based on the above theoretical tools. The program supports both formal string theory as well as string-theory-inspired model building.  Proposals in mathematical physics that are relevant for string theory and/or quantum field theory are also relevant for this program.   Predictions for upcoming experiments at the Large Hadron Collider (LHC) involve Supersymmetric Model building, Grand Unified Theories, Extra Dimensions, String Inspired phenomenology as well as high order calculations in the Standard Model (of strong weak and electromagnetic interactions) to sort out what new physics might be discovered at the next generation of accelerators and cosmic ray and neutrino detectors. High precision simulations of quantum chromodynamics (QCD) processes using lattice gauge theory are also a crucial ingredient for understanding present and future experiments at various collider facilities. Supported research includes contributions to broad theoretical advances as well as model building and applications to experimental programs at facilities such as the Relativistic Heavy Ion Collider (RHIC) and Jefferson Laboratory, and to astrophysical phenomena. This includes formulating new approaches for theoretical, computational, and experimental research that explore the fundamental laws of physics and the behavior of physical systems; formulating quantitative hypotheses; exploring and analyzing the implications of such hypotheses analytically and computationally; and interpreting the results of experiments. The effort also includes a considerable number of interdisciplinary grants."</t>
  </si>
  <si>
    <t>Isaac Manasseh Meyer Fellowship</t>
  </si>
  <si>
    <t>"The Fellowships are intended to provide opportunities for academics specializing in any area of arts and social sciences to visit and spend time at the Faculty of Arts and Social Sciences, conducting research and giving lectures and seminars. Fellows are expected to engage in collaborative research with faculty members. The typical duration of IMMF is one month or less. The IMMF is open to scholars in any area of the humanities and social sciences. Priority will be given to those who can contribute to the strategic areas of research of the Faculty with collaborative projects or projects leading to a major grant proposal."</t>
  </si>
  <si>
    <t>In planning stages</t>
  </si>
  <si>
    <t>STEM</t>
  </si>
  <si>
    <t>Not listed</t>
  </si>
  <si>
    <t>“The Wellcome Leap Fund will support scientists, technologists and innovators from around the world to pursue bold ideas that would fall outside the remit of conventional life sciences funding. This is because they are deemed too high risk, need to overcome a major scientific or technical hurdle to turn a theoretical goal into reality, or because the individual does not have an academic background in the life sciences.”</t>
  </si>
  <si>
    <t>Individual Fellowship</t>
  </si>
  <si>
    <t>"Since its inception in 1963 as the Asian Cultural Program of the JDR 3rd Fund, ACC has operated a program of long-term, immersive fellowships and shorter-term grants for individual artists, scholars, and arts and humanities professionals who wish to pursue specialized training not available in their home countries; find new creative inspiration through travel, research, and exploration; or pursue targeted research projects aligned with ACC's mission of advancing international understanding."</t>
  </si>
  <si>
    <t>PAUSED</t>
  </si>
  <si>
    <t>Schlesinger Research Grant</t>
  </si>
  <si>
    <t>*No new DEADLINE as of 6.11.20*                                                                                 "The Schlesinger Library invites scholars and other serious researchers at any career stage beyond graduate school to apply for support for their work in our collections. Grants of up to $3,000 will be given on a competitive basis. Applicants must have a doctoral degree or equivalent research and writing experience. Priority will be given to those who have demonstrated research productivity and whose projects require use of materials available only at the Schlesinger Library. The awards may be used to cover travel and living expenses, photocopies or other reproductions, and other incidental research expenses, but not for the purchase of equipment or travel to other sites for research."</t>
  </si>
  <si>
    <t>Scholar in Residence Fellowship</t>
  </si>
  <si>
    <t>General
Gender Studies</t>
  </si>
  <si>
    <t>OTHER DEADLINE: 11/1 *No new DEADLINE as of 5.12.20* 
"The Scholars-in-Residence Program is designed to (1) encourage research and writing on the history, literature and culture of the of the LGBTQ community or other dynamic projects relating to the LGBTQ experience, broadly conceived; (2) to promote and facilitate interaction among the participants including fellows funded by other sources; (3) to facilitate the dissemination of the researcher’s findings through lectures via CLAGS’s ongoing Events Series. Applicants must indicate in their proposal how these resources will specifically benefit their project."
"The CLAGS Scholar-in-Residence will be allowed to spend up to six months in residence.  Beyond a CLAGS affiliation, Fellows will receive office space, access to libraries and electronic databases, as well as opportunities to meet and work with leading LGBTQ scholars in New York City."</t>
  </si>
  <si>
    <t>Fellowships travel</t>
  </si>
  <si>
    <t>"The Japan U.S. Friendship Commission offers leading contemporary and traditional artists from the United States the opportunity to spend three to five months in Japan through the U.S.-Japan Creative Artists Program.  Artists go as seekers, as cultural visionaries, and as living liaisons to the traditional and contemporary cultural life of Japan.  They also go as connectors who share knowledge and bring back knowledge. Their interaction with the Japanese public and the outlook they bring home provide exceptional opportunities to promote cultural understanding between the United States and Japan."</t>
  </si>
  <si>
    <t>*PAUSED due to covid-19*                                                                                  "The QM-Jerome Foundation Fellowship Program for Emerging Artists in New York City will award two visual artists fellowships that culminate in exhibitions at the Queens Museum in Spring 2021 and Fall 2021. The fellowship period will include the year leading up to the opening and ending with the closing of their exhibition."</t>
  </si>
  <si>
    <t>Erikson Scholar Program</t>
  </si>
  <si>
    <t>stipend, housing</t>
  </si>
  <si>
    <t>"This endowed scholar-in-residence program brings scholars to the Center to carry out their research projects in conversation with the clinical staff.  Scholars are selected both for the centrality of their theme to the work of the staff and for the potential of that work to enrich and be enriched by interaction with the clinical program.  Academicians, clinicians, and other professionals are invited into the clinical and intellectual life of the Center through participation in seminars, lectures, case discussions and other interdisciplinary activities, including the Erikson Institute-Williams College Study Group and Interdisciplinary Forums. 
In addition to mental health professionals, academicians in the fields of anthropology, history, law, literary criticism, political science, sociology and other relevant disciplines are encouraged to apply. Generally, scholars are in residence at the Center for a period of fourteen weeks.  The position includes a stipend, housing (pet and smoke-free), administrative support, and use of the Center’s library."</t>
  </si>
  <si>
    <t>Yale University LGBT Studies Research Fellowship</t>
  </si>
  <si>
    <t>Social Science
Gender studies</t>
  </si>
  <si>
    <t>"Lesbian, Gay, Bisexual, and Transgender Studies at Yale University is proud to announce the second annual Yale LGBT Studies Research Fellowship. The Fellowship is offered annually, and is designed to provide access to Yale resources in LGBT Studies for scholars who live outside the greater New Haven area. 
Scholars from across the country and around the world are invited to apply for the Yale LGBT Studies Research Fellowship. This fellowship supports scholars from any field pursuing research in lesbian, gay, bisexual, transgender, and/or queer studies at Yale University, utilizing the vast faculty resources, manuscript archives, and library collections available at Yale. Graduate students conducting dissertation research, independent scholars, and all faculty are invited to apply. Scholars residing within 100 miles of New Haven are ineligible."</t>
  </si>
  <si>
    <t>H. Allen Brooks Travelling Fellowship</t>
  </si>
  <si>
    <t>"The Society of Architectural Historians’ prestigious H. Allen Brooks Travelling Fellowship will be offered for 2020 and will allow a recent graduate or emerging scholar to study by travel for one year. The fellowship is not for the purpose of doing research for an advanced academic degree or publication. Instead, Professor Brooks intended the recipient to study by travel and contemplation while observing, reading, writing, or sketching. 
The goals are to provide an opportunity for a recent graduate with an advanced degree or an emerging scholar to:
see and experience architecture and landscapes firsthand
think about their profession deeply
acquire knowledge useful for the recipient’s future work, contribution to their profession, and contribution to society
The fellowship recipient may travel to any country or countries during the one-year period."</t>
  </si>
  <si>
    <t>Residency</t>
  </si>
  <si>
    <t>OTHER DEADLINE June 15, October 1, February 15.
Non-fellowship applications accepted on a rolling basis.
"the largest international artists' and writers' residency program in the United States. Our mission is to provide studio residencies in an inclusive, international community, honoring creative work as the communication of spirit through form."
"We offer over 120 fellowships per year to artists and writers of outstanding talent. A fellowship covers the full cost of a VSC residency (some awards also include an additional stipend for travel/lost income/etc). 
At each of our three annual deadlines (February 15th, June 15th, and October 1st), our fellowship offerings change. In addition to some donor-driven awards with special eligibility requirements, there are always a number of general, merit-based VSC fellowships for which all applicants are considered."</t>
  </si>
  <si>
    <t>research
project</t>
  </si>
  <si>
    <t>$5,000-$30,000</t>
  </si>
  <si>
    <t>*Other deadline of January 20                                                                                              "All proposed projects should be bold, innovative, and potentially transformative and have a primary focus in conservation, education, research, storytelling, or technology. Projects should also align to one of our three focus areas. 
We do not usually consider applications that support strictly laboratory or collections work."  Focus areas are:
"Early Career Grants are designed to offer less experienced individuals an opportunity to lead a project." ($5,000-$10,000)
"An Exploration Grant application is a request for funding by an experienced project leader in the areas of conservation, education, research, storytelling, and technology." ($10,000-$30,000)
"As part of supporting a planet in balance, National Geographic offers Exploration grants that concentrate on certain key issues. Applicants may propose projects focused in conservation, education, research, storytelling, or technology in response to the special Requests for Proposals (RFPs)."</t>
  </si>
  <si>
    <t>Princeton University</t>
  </si>
  <si>
    <t>PLAS Fellowship</t>
  </si>
  <si>
    <t xml:space="preserve">The Program in Latin American Studies (PLAS) is seeking top scholars in their fields who have teaching experience and will provide Princeton students with a unique opportunity to study topics that are not regularly offered at the University. Applications will be accepted from outstanding scholars in the humanities and social sciences, as well as from established writers, artists, filmmakers, or architects working on projects relating to Latin America who are stellar teachers.
Visiting Research Scholars will be expected to teach one undergraduate course per semester, conditional upon sufficient enrollments and approval of a Princeton department and the Dean of the Faculty, and to participate in PLAS-related events on campus.
Appointments are for one or two semesters, during the 2020-2021 academic year (fall semester: September 1, 2020 - January 31, 2021; spring semester: February 1- June 30, 2021). A competitive salary commensurate with experience and excellent benefits will be offered. The Office of the Dean of the Faculty determines salary on the basis of current academic rank and award duration; appointment rank at Princeton is determined on the basis of experience and current institutional affiliation.
</t>
  </si>
  <si>
    <t>Columbia Institute for Ideas and Imagination (II&amp;I)</t>
  </si>
  <si>
    <t>Faculty Fellowship</t>
  </si>
  <si>
    <t xml:space="preserve">*DEADLINE for the 2021-2022 cycle will be posted later in the year*                   "The Columbia Institute for Ideas and Imagination, based at Reid Hall in Paris, offers approximately seven full fellowships annually to Columbia faculty. The Institute encourages applications in all disciplines and on any topic from candidates interested in participating in a creative community of scholars, artists, and thinkers. The fellows will each receive $37,500 per term, or $75,000 for a full academic year (September through May), an office at the Institute in Paris, and access to Columbia’s libraries and various research facilities in Paris and in Europe. We welcome projects from those working in any area of the humanities, the humanistic social sciences, and conceptual dimensions of the natural and applied sciences, as well as from visual artists, filmmakers, writers, and other creative thinkers. In order to be eligible to apply, Columbia faculty should indicate their school and departmental affiliation. We welcome group projects although each participant in the group must apply individually and will be considered on his or her own merits.”  </t>
  </si>
  <si>
    <t>Founded in 1980, the Milton and Sally Avery Arts Foundation is committed to supporting institutions and projects in the arts and arts education; the Foundation does not provide grants to individuals. There are neither formal submission guidelines, nor scheduled deadlines. At this time, new proposals are not being considered.</t>
  </si>
  <si>
    <t>program ended</t>
  </si>
  <si>
    <t>Arts &amp; Humanities
Area Studies
Social Sciences</t>
  </si>
  <si>
    <t>collaborative research funding</t>
  </si>
  <si>
    <t>The European Institute offers grants to members of the Columbia and Barnard faculties for collaborative research projects such as workshops and conferences. EI Faculty Research Grants support projects that address a topic on the scale of Europe as a whole, an issue of concern to the entire region, or that take a new approach to its relations with other world regions. Projects may be pursued at Columbia or under the auspices of Columbia’s Global Centers Paris and Istanbul and in cooperation with other Global Centers. Projects involving participants from European institutions are prioritized.</t>
  </si>
  <si>
    <t>3-6 months</t>
  </si>
  <si>
    <t>Not currently accepting applications.
"DSD-funded research must address the primary theme of drugs in Latin America or the Caribbean. Proposals must demonstrate the potential for the research to contribute to a sound and credible knowledge base for informed advocacy and decision-making for drug policy. For the current fellowship competition, applications must address one of the following topics:
Drug policy / legal reform, including different depenalization, decriminalization, legalization, and regulation approaches as well as country-specific obstacles to reform
Marijuana, including legalization for medical use
Impact of drug laws on prison systems, including costs associated with pretrial detention for drugs
The dynamics and relationships between legal pharmaceutical drug markets and illicit drug production, including barriers to access and incentives/disincentives for producers
Drug policy and the peace process in Colombia
Analysis of institutional resource distribution between criminal and public health approaches to drug use
Drug economy and its dynamics
Preference will be given to candidates researching the aforementioned topics in Brazil, Caribbean countries, Central American countries, Colombia, Ecuador, Mexico, Peru, and Uruguay."</t>
  </si>
  <si>
    <t>&lt;$330,000/2 years
&lt;$975,000/3 years</t>
  </si>
  <si>
    <t>No longer open.  Check website for other opportunities
"Grants awarded through this RFA are intended to provide funding for investigators conducting bold, creative and rigorous research into the underlying biology, causes and treatment of autism spectrum disorders.
Pilot Awards are intended for investigators who are requesting support for small-scale projects or early-stage experiments that will build on preliminary data or a prior track record and lead to competitive applications for funding by SFARI or other organizations....
Research Awards are intended for investigators with demonstrated experience who are requesting support for compelling, high-impact research on an experimental hypothesis for which preliminary data have already been gathered."</t>
  </si>
  <si>
    <t>Facebook</t>
  </si>
  <si>
    <t>Secure the Internet grants</t>
  </si>
  <si>
    <t>Sciences
Computer Science</t>
  </si>
  <si>
    <t>Ran in 2018.  May not run again.
"Facebook is pleased to invite submissions from university researchers and faculty, non-profit organizations, and NGOs for applied research proposals to improve the security, privacy, and safety of internet users. Our goal is to spur development of technology that may be applied in practice, rather than pure research, in a wide range of topics including, but not limited to:
Abuse detection and reporting
Anti-phishing
Post-password authentication
Privacy preserving technologies
Security for users in emerging markets
User safety"</t>
  </si>
  <si>
    <t>one grant for first-time directors, another without restrictions</t>
  </si>
  <si>
    <t>"To provide excavation support for professional AIA members working around the world."</t>
  </si>
  <si>
    <t>DePaul University</t>
  </si>
  <si>
    <t>The DHC Visiting Fellow program is generally a sabbatical/leave-based position, as there is no large stipend associated with this position. However, apart from the mutual benefits of being engaged with our vibrant local intellectual community in the heart of Lincoln Park in Chicago, Visiting Fellows will be given an office in the Center with computer, staff support, library privileges, and an honorarium of up to $3,000</t>
  </si>
  <si>
    <t xml:space="preserve">“The DHC serves as a site for discussion and research in the arts and humanities at DePaul University and in Chicago at large, engaging these communities in the most recent and impressive scholarship in the humanities, with special attention paid to the exchange of ideas across disciplines.
</t>
  </si>
  <si>
    <t>Program on hold</t>
  </si>
  <si>
    <t>Program on hold
"The Visiting Faculty Fellows program is intended to extend the practice of humanities research and education philosophically grounded at the undergraduate level into liberal arts colleges and Historically Black Colleges and Universities. Duke, as a research hub, can offer its research opportunities to faculty from these institutions and by extension have its impact on their undergraduates even as we can learn from the knowledge and world-views generated at these other institutions. This element of the HWL grant realizes the Mellon Foundation’s desire to reframe humanities as an engine for new knowledge production and to multiply the benefits of the Humanities Writ Large initiative at Duke."</t>
  </si>
  <si>
    <t>Visiting Faculty Fellowships</t>
  </si>
  <si>
    <t xml:space="preserve">*No new DEADLINE as of 6.29.21*                                                                                          The Centre for Ethics at the University of Toronto, an interdisciplinary centre aimed at advancing research and teaching in the field of ethics, broadly defined, welcomes applications from faculty at other universities and research institutes, regardless of discipline or field of study, who wish to spend the academic year as a Visiting Professor to conduct research related to the Centre’s mission “to bring together the theoretical and practical knowledge of diverse scholars, students, public servants and social leaders in order to increase understanding of the ethical dimensions of individual, social, and political life.” </t>
  </si>
  <si>
    <t>general grants</t>
  </si>
  <si>
    <t>"We support ideas and
solutions designed to
improve education,
boost entrepreneurship,
and help communities
and individuals thrive."</t>
  </si>
  <si>
    <t>Small Grants Program</t>
  </si>
  <si>
    <t>*No new DEADLINE as of 3.24.21*                                                                                       "The Russell Sage Behavioral Economics Roundtable offers small grants to support high quality research in behavioral economics and to encourage young investigators to enter this developing field. There are no limitations on the disciplinary background of the principal investigator, and the proposed research may address any economic topic. However, projects must contribute to the Foundation's mission to improve the social and living conditions in the U.S. Interdisciplinary efforts are welcome. Appropriate projects will demonstrate explicit use of psychological concepts in the motivation of the design and the preparation of the results. Experimental projects which do not have substantial behavioral content (such as market experiments testing neoclassical ideas) or substantial economic content (such as psychology experiments with no economic choices or strategic or market implications) will not be funded."</t>
  </si>
  <si>
    <t>Rolling</t>
  </si>
  <si>
    <t>General Grants</t>
  </si>
  <si>
    <t>We support ideas and solutions designed to improve education,
boost entrepreneurship, and help communities and individuals thrive.</t>
  </si>
  <si>
    <t>Course Development Grants for Co-teaching in Science and Society</t>
  </si>
  <si>
    <t xml:space="preserve">The Columbia University Center for Science and Society invites proposals for the development of cross-disciplinary, co-taught courses in “science and society” for undergraduates and graduate students. Courses must be led by at least two co-instructors, one from the natural sciences or other STEM-related (science, technology, engineering, math, or medicine) field, and the other from the arts, humanities, law, social sciences, or other non-STEM field. </t>
  </si>
  <si>
    <t>The program is intended to support high-risk theoretical mathematics, physics and computer science projects of exceptional promise and scientific importance on a case-by-case basis.</t>
  </si>
  <si>
    <t>Law &amp; Science</t>
  </si>
  <si>
    <t>The Law &amp; Science Program considers proposals that address social scientific studies of law and law-like systems of rules, as well as studies of how science and technology are applied in legal contexts. The Program is inherently interdisciplinary and multi-methodological. Successful proposals describe research that advances scientific theory and understanding of the connections between human behavior and law, legal institutions, or legal processes; or the interactions of law and basic sciences, including biology, computer and information sciences, STEM education, engineering, geosciences, and math and physical sciences. Scientific studies of law often approach law as dynamic, interacting with multiple arenas, and with the participation of multiple actors. Fields of study include many disciplines, and often address problems including, though not limited, to:
Crime, Violence, and Policing
Cyberspace
Economic Issues
Environmental Science
Evidentiary Issues
Forensic Science
Governance and Courts
Human Rights and Comparative Law
Information Technology
Legal and Ethical Issues related to Science
Legal Decision Making
Legal Mobilization and Conceptions of Justice
Litigation and the Legal Profession
Punishment and Corrections
Regulation and Facilitation of Biotechnology (e.g., Gene Editing, Gene Testing, Synthetic Biology) and Other Emerging Sciences and Technologies
Use of Science in the Legal Processes
LS supports the following types of proposals:
Standard Research Grants and Grants for Collaborative Research
Conference Awards
LS also participates in a number of specialized funding opportunities through NSF’s cross-cutting and cross-directorate activities, including, for example:   
Faculty Early Career Development (CAREER) Program
Research Experiences for Undergraduates (REU)
Research at Undergraduate Institutions (RUI)
Grants for Rapid Response Research (RAPID)
Early-concept Grants for Exploratory Research (EAGER)</t>
  </si>
  <si>
    <t>Fluid Dynamics</t>
  </si>
  <si>
    <t>"The Fluid Dynamics program supports fundamental research toward gaining an understanding of the physics of various fluid dynamics phenomenon. Proposed research should contribute to basic scientific understanding via experiments, theoretical developments, and computational discovery. Encouraged are proposals that focus on high Reynolds number turbulence scaling and modeling."</t>
  </si>
  <si>
    <t>Institute of Latin American Studies Fellowship</t>
  </si>
  <si>
    <t>"The Institute of Latin American Studies promotes, coordinates and provides a focus for research on Latin America and the Caribbean, in social sciences and the humanities. The Institute welcomes applications for Visiting Research Fellowships from scholars of international distinction whose research is in a field relevant to the Institute’s work. Applicants must have a PhD or be of postdoctoral standing."</t>
  </si>
  <si>
    <t>prize</t>
  </si>
  <si>
    <t>*No new DEADLINE as of 6.11.20*                                                                                "The Hiett Prize in the Humanities is an annual award of $50,000 aimed at identifying candidates who are ascending in a career devoted to the humanities and whose work shows extraordinary promise to have a significant impact on contemporary culture."</t>
  </si>
  <si>
    <t>travel and up to two weeks lodging at NCSU</t>
  </si>
  <si>
    <t>"Visiting Scholar Grants provide funding for researchers working on early Arab diaspora and migration to work at the Khayrallah Center for a period of 1 to 2 weeks. Researchers will have access to resources available at the Khayrallah Center’s archive."</t>
  </si>
  <si>
    <t>"Furthermore grants in publishing, a program of the J. M. Kaplan Fund, supports publication of nonfiction books that concern the arts, history, and the natural and built environment."</t>
  </si>
  <si>
    <t>Ocean Technology and Interdisplinary Coordination</t>
  </si>
  <si>
    <t xml:space="preserve">“The Oceanographic Technology and Interdisciplinary Coordination (OTIC) Program supports a broad range of research and technology development activities. Unsolicited proposals are accepted for instrumentation development that has broad applicability to ocean science research projects and that enhance observational, experimental or analytical capabilities of the ocean science research community.”  </t>
  </si>
  <si>
    <t>Archival</t>
  </si>
  <si>
    <t>"CWIHP offers resources and support to scholars of all levels who are conducting archival research on the history of the Cold War. In addition to CWIHP's formal fellowships, the project accepts ad-hoc proposals and funding requests to support archival research.... Generally, CWIHP supports the following kinds of activities:
Translation and Transcription
If you have retrieved historical documents from non-US archives, and you would like to have them translated into English, CWIHP will translate and host them online for you. Scans or transcriptions of archival documents can be hosted online side-by-side with their English translations on the Wilson Center's Digital Archive. Write to CWIHP with a description or index of the documents you would like to have translated, and what you intend to do with them. 
Document Acquisition and Duplication
If you are planning a trip to a non-US archive and need financial support to photocopy or scan materials during your trip, write to CWHIP with a short description of the collections you will be accessing. CWIHP regularly reimburses photocopy/scanning costs."</t>
  </si>
  <si>
    <t>"Humanities Program
The Foundation intends to further the humanities along a broad front, supporting projects which address the concerns of the historical studia humanitatis: a humanistic education rooted in the great traditions of the past; the formation of human beings according to cultural, moral, and aesthetic ideals derived from that past; and the ongoing debate over how these ideals may best be conceived and realized....
Performing Arts Program
The principal mission of the Performing Arts Program is to provide core program and special project support to organizations of quality in the fields of dance, music and theater that perform and produce or present work in New York City.... 
Research Libraries Program
The Research Libraries Program concentrates primarily in those areas of its founders’ interests and aims to be fully complementary to the Foundation’s other program areas (i.e., humanities scholarship, performing arts, and Venetian history and culture).
The overall objective of the Research Libraries Program is to improve the ability of research libraries to serve the needs of scholarship in the humanities and the performing arts, and to help make their resources more widely accessible to scholars and the general public....
Venetian Programs
Designed to support historical research on Venice and the former Venetian empire, and the study of contemporary Venetian society and culture, grants are awarded for independent research, for publications assistance, and for the support of institutions engaged in related research programs."</t>
  </si>
  <si>
    <t>"The award will be granted to an MLS degreed librarian from an ALA accredited school to facilitate and further research relating to history and history librarianship.  An emphasis in an area reflected by the History Section’s subject-oriented committees, not excluding American history, is required.  Those committees are: Genealogy, Local History, Instruction and Research Services, and Historical Materials."</t>
  </si>
  <si>
    <t>"Conferences, workshops, and related events (including seasonal schools and international travel by groups) support research and training activities of the mathematical sciences community.  Proposals for conferences, workshops, or conference-like activities may request funding of any amount and for durations of up to three years.  Proposals under this solicitation must be submitted to the appropriate DMS programs in accordance with the lead-time requirements specified on the program web page."</t>
  </si>
  <si>
    <t>Emergency Grants</t>
  </si>
  <si>
    <t>emergency grant</t>
  </si>
  <si>
    <t>$500-$2,500</t>
  </si>
  <si>
    <t>"In keeping with FCA's mission to encourage, sponsor, and promote work of a contemporary, experimental nature, applicants must demonstrate that their artistic practice falls within this context. Created in 1993, Emergency Grants provides prompt funding for innovative visual and performing artists who:
Have unanticipated, sudden opportunities to present their work to the public when there is insufficient time to seek other sources of funding
Incur unexpected or unbudgeted expenses for projects close to completion with committed exhibition or performance dates"</t>
  </si>
  <si>
    <t>A&amp;H
Area Studies</t>
  </si>
  <si>
    <t>junior scholar</t>
  </si>
  <si>
    <t>"this program aims to help create an energetic, multi-faceted research environment for the Humanities at NYUAD’s campus. To this end, NYUAD will annually invite applications from distinguished senior scholars as well as from promising junior scholars for residential fellowships at NYUAD’s Institute for one-two semesters. Fellows will contribute to NYUAD’s intellectual community through research and research-related activities. While open to scholars working in all areas of the Humanities, the program aims in particular to build a center of outstanding research capacity in areas of the Humanities that are relevant for the study of the Arabic world. Scholars are offered work/office space at the Institute, full use of NYUAD’s library facilities (which are substantial, closely connected as they are to NYU’s Main Library in New York), administrative support, housing at NYUAD’s campus on Saadiyat Island (or comparable facilities), a fellowship stipend commensurate with experience, a personal research allowance, and funds for intermittent home travel."</t>
  </si>
  <si>
    <t>Institute of Philosophy Fellowship</t>
  </si>
  <si>
    <t>A&amp;H
Philosophy</t>
  </si>
  <si>
    <t>"The Institute welcomes applications from philosophers who wish to visit London, and can offer its own office space and other facilities. Fellows are encouraged to take an active part in the life of the Programme, and in the many other philosophical activities in London. The Aristotelian Society holds its fortnightly meetings in Senate House, and the Royal Institute of Philosophy holds weekly meetings in nearby Gordon Square. Prospective fellows may apply for a visit of up to one year. Fellows may work in any area of philosophy."</t>
  </si>
  <si>
    <t>&lt;4 years postdoc
early career</t>
  </si>
  <si>
    <t xml:space="preserve">“In providing Humboldt Research Fellowships for experienced researchers, the Alexander von Humboldt Foundation enables highly-qualified scientists and scholars from abroad, who completed their doctorates less than twelve years ago to spend extended periods of research (6-18 months; may be divided up into a maximum of three blocks) in Germany. Candidates are expected to have their own, clearly defined research profile. This means they should usually be working at least at the level of Assistant Professor or Junior Research Group Leader or be able to document independent research work over a number of years. Scientists and scholars from all disciplines and countries may apply. 
The research outline is carried out in cooperation with academic hosts at research institutions in Germany. Applicants choose their own topic of research and their host in Germany. Details of the research outline including information on the intended duration of the fellowship must be agreed with the intended host before applying. The duration of the research fellowship (6-18 months) may be divided up into a maximum of three visits lasting a minimum of three months each. No more than 36 months may elapse between the beginning of the first stay and the end of the last stay. Short-term visits for study and training purposes or for attending conferences are not eligible for sponsorship.”
</t>
  </si>
  <si>
    <t>$500-20,000
Average $8,000</t>
  </si>
  <si>
    <t>"To support professionals in the social sciences and humanities, including economics, international affairs, government/politics, and philosophy"</t>
  </si>
  <si>
    <t>&lt;12 years postdoc</t>
  </si>
  <si>
    <t>"Submit an application if you are a researcher from abroad with above average qualifications, completed your doctorate less than twelve years ago, already have your own research profile and are working at least at the level of Assistant Professor or Junior Research Group Leader or have a record of several years of independent academic work. A Humboldt Research Fellowship for experienced researchers allows you to carry out long-term research (6-18 months) in Germany. Applicants choose their own topic of research and their academic host. The fellowship is flexible and can be divided up into as many as three stays within three years.
Scientists and scholars of all nationalities and disciplines may apply to the Alexander von Humboldt Foundation online at any time."</t>
  </si>
  <si>
    <t>Jennings Randolph Senior Fellowship</t>
  </si>
  <si>
    <t>&lt;$10,000/month for 6 months minumum</t>
  </si>
  <si>
    <t>"USIP Fellowship programs support cutting-edge research, writing, analysis and convening by emerging and leading international experts from many disciplinary and professional backgrounds. The Fellowship programs provide USIP resources to add to its in-house expertise and inform its programmatic work, while contributing to USIP’s role as a bridge between academics, reflective practitioners and policy-makers."</t>
  </si>
  <si>
    <t>Visiting scholars and PhD students from other Israeli or foreign academic institutions have the opportunity to work one-on-one with researchers at the center and utilize its resources to anthropology, sociology, and religion. Applicants must be doctoral candidates or have received a PhD degree. Applicants are responsible for their own funding and housing arrangements. The minimum duration of the affiliation is three months, which can be extended up to one year.</t>
  </si>
  <si>
    <t>$10,000 average</t>
  </si>
  <si>
    <t>“Areas of Interest
•        Environmental Health &amp; Justice
•        Land Conservation
•        Sustainability of Resources 
•        Mountaintop Removal Mining
•        Watershed Protection
•        Financial Literacy for elementary and high school students”</t>
  </si>
  <si>
    <t>Entrepreneurship &amp; Leadership</t>
  </si>
  <si>
    <t>program</t>
  </si>
  <si>
    <t>"At the Boulware Foundation, we believe that girls &amp; women with equal power can make critical life decisions that benefit themselves, family members and their community. Women are important agents for social change and by investing in them, the impact is exponential." There are six different areas in which funding is allocated. 
Financial Literacy 
Workforce Development
Entrepreneurship 
Microfinance
Leadership Skills
Education"</t>
  </si>
  <si>
    <t>postdoc</t>
  </si>
  <si>
    <t>$47,446/year for two years</t>
  </si>
  <si>
    <t>As part of a continuing commitment to building a culturally diverse intellectual community and advancing scholars from underrepresented groups in higher education, The University of North Carolina at Chapel Hill Carolina Postdoctoral Program for Faculty Diversity is pleased to announce the availability of postdoctoral research appointments for a period of two years. The purpose of the Program is to develop scholars from underrepresented groups for possible tenure track appointments at the University of North Carolina and other research universities. Postdoctoral scholars will be engaged full-time in research and may teach only one course per fiscal year.</t>
  </si>
  <si>
    <t>Creative Arts
Visual Art</t>
  </si>
  <si>
    <t>"The Pollock-Krasner Foundation's mission is to aid, internationally, those individuals who have worked as artists over a significant period of time.  The Foundation's dual criteria for grants are recognizable artistic merit and financial need, whether professional, personal, or both.... 
The Foundation welcomes, throughout the year, applications from visual artists who are painters, sculptors and artists who work on paper, including printmakers. There are no deadlines. The Foundation encourages applications from artists who have genuine financial needs that are not necessarily catastrophic. Grants are intended for a one-year period of time."
"Organizations whose missions directly impact the individual artist may apply for support of their programs."</t>
  </si>
  <si>
    <t>Investigative Fund</t>
  </si>
  <si>
    <t>"The Puffin Foundation supports investigative journalism in the independent media seeking to highlight voices and stories often excluded or marginalized by mainstream outlets. The foundation‘s commitment to journalism in the public interest allows The Investigative Fund to produce and place in-depth investigative stories in a variety of publications and to support independent reporters."</t>
  </si>
  <si>
    <t>$2,500-$15,000</t>
  </si>
  <si>
    <t>"We don’t limit ourselves to any one issue, rather we search across issues to identify opportunities where innovation is needed to address an urgent challenge.... 
Bold ideas depart from the status-quo and require us to look at a problem and its solution in a new light. Big ideas have a high potential for large-scale impact and sustainable change. Combined, ideas that are big and bold hold the promise of substantively improving the conditions for those in need in new and unheralded ways. 
That doesn’t mean we’re looking for the fantastical or sensational. Even big and bold ideas need to be achievable and informed by relevant facts. Nor are we looking for one single path or “magic” solution. No one idea will solve poverty, income inequality, or hunger. Complex problems require novel approaches that can be scaled to meet the needs of the many. That is what we we’re looking for.... 
A cutting-edge product, an experimental program, a new service, an invention, or an original game are all in our wheelhouse. The idea has to improve on what’s already out there and it has to have the potential for tangible, measurable impact. Ideas that can be replicated, taken to scale, or leverage existing infrastructure are a good fit. We also favor ideas that inspire others, build on partnerships (public and private), and that are inclusive of those they are intended to benefit."</t>
  </si>
  <si>
    <t>"To be eligible for grant funding, projects must focus on Chinese Buddhism from the Song to the Qing dynasties, but research methodologies may vary. Ancillary topics such as Confucianism, Daoism, Chinese history, politics, and so forth may also be addressed.
The Chung-Hwa Institute of Buddhist Studies—an academic wing of Dharma Drum Mountain Foundation—is one of the world's most prestigious Buddhist institutions dedicated to the academic study of Buddhism."</t>
  </si>
  <si>
    <t xml:space="preserve">“Our aim is to invest in innovative projects that can have measurable impact and can create meaningful, transformative change.” Program areas include education, democracy, higher education and research in Africa, and international peace and security.  </t>
  </si>
  <si>
    <t>org</t>
  </si>
  <si>
    <t>"Quick Grants of $500 are now available for in-person public humanities program​s​. These matching grants are ​intended for small and volunteer-run organizations. Proposals ​will be accepted on a rolling basis while funds last."</t>
  </si>
  <si>
    <t>Vision Grants are "Up to $1,500 in support of brainstorming, researching, and professional development for organizations working collaboratively to develop new ideas and program strategies. These grants aim to:
--Support emerging and established partnerships between different groups on a shared project that may develop into public-facing activities.
--Infuse program design with humanities themes and methodologies from the start.
--Encourage experimentation in program design.
--Build community input into program design."</t>
  </si>
  <si>
    <t>Lucius N. Littauer Foundation</t>
  </si>
  <si>
    <t>Lucius N. Littauer Foundation Grant</t>
  </si>
  <si>
    <t xml:space="preserve">“The Lucius N. Littauer Foundation makes grants in the areas of education, social welfare, Jewish communal life and Judaica libraries and archives. Most of our grants are made to organizations in the New York Metropolitan area and in Israel. In addition, we are proud to continue to support various institutions in Mr. Littauer’s home town, Gloversville, NY.”
</t>
  </si>
  <si>
    <t>$10,000-$60,000</t>
  </si>
  <si>
    <t>"Awards...may be used for research, including field studies, and related expenses, including travel (where appropriate) and living costs over the period covered by the Landes Grant. Senior scholars may request stipends based on their previous year’s salary and professional standing. Applications for multiyear grants will be considered."
"Funding preference will be given to research proposals on the specific subjects reflected in the Ruth Landes Bibliography....Dr. Landes conducted fieldwork among Afro-Brazilians, African-Americans in the United States of America, and American Indians, including the Ojibwa, Potawatomi, and Sioux. She worked in Canada, Brazil, England, Scotland, South Africa, Spain, Switzerland and in the U.S.A. Her research topics included, but were not limited to, aging, gender and sexuality, race and ethnicity, immigrant and minority populations, culture and education, language and identity, and religion."</t>
  </si>
  <si>
    <t xml:space="preserve">"Funds are available to a limit, in any one calendar year, of £2000 in the form of Grants towards the cost of research projects proposed to be undertaken. However, it would be very exceptional for the entire sum to be granted/awarded to a single project or piece of research.
Applications will be considered from any person or group, whether members of the Tools and Trades History Society or not.
Proposed projects and completed work submitted for consideration will be assessed by the Executive Trustees regarding:
Originality of the work and the extent to which it advances the Society's objective.Suitability for publication, either as written material or as a visual/aural record, under the auspices of the Society, or elsewhere with the acknowledgement of the Society's assistance….
Potential Applicants should be aware that submissions received in the early part of the year will be more likely of success in getting a Grant/Award that year, than those which arrive later, when other budgetary processes may have imposed funding constraints.” </t>
  </si>
  <si>
    <t>"Bioversity International collaborates with students (MSc and PhD) and working professionals from developed and developing countries to carry out thesis or other research that contributes to our mission to deliver scientific evidence, management practices and policy options to use and safeguard agricultural biodiversity to attain global food and nutrition security. The topic of the research should be aligned with one of Bioversity International’s areas of expertise. The objectives of the fellowships are to develop individual capacity in research for development, to contribute to generating and sharing knowledge, to build a network of scientists and institutions within our field of interest and offer employment experience to recent graduates."</t>
  </si>
  <si>
    <t>"The Electronics, Photonics and Magnetic Devices (EPMD) Program supports innovative research on novel devices based on the principles of electronics, optics and photonics, optoelectronics, magnetics, opto- and electromechanics, electromagnetics, and related physical phenomena. EPMD’s goal is to advance the frontiers of micro-, nano- and quantum-based devices operating within the electromagnetic spectrum and contributing to a broad range of application domains including information and communications, imaging and sensing, healthcare, Internet of Things, energy, infrastructure, and manufacturing. The program encourages research based on emerging technologies for miniaturization, integration, and energy efficiency as well as novel material-based devices with new functionalities, improved efficiency, flexibility, tunability, wearability, and enhanced reliability."</t>
  </si>
  <si>
    <t>"The Energy, Power, Control, and Networks (EPCN) Program supports innovative research in modeling, optimization, learning, adaptation, and control of networked multi-agent systems, higher-level decision making, and dynamic resource allocation, as well as risk management in the presence of uncertainty, sub-system failures, and stochastic disturbances. EPCN also invests in novel machine learning algorithms and analysis, adaptive dynamic programming, brain-like networked architectures performing real-time learning, and neuromorphic engineering. EPCN’s goal is to encourage research on emerging technologies and applications including energy, transportation, robotics, and biomedical devices &amp; systems. EPCN also emphasizes electric power systems, including generation, transmission, storage, and integration of renewable energy sources into the grid; power electronics and drives; battery management systems; hybrid and electric vehicles; and understanding of the interplay of power systems with associated regulatory &amp; economic structures and with consumer behavior."</t>
  </si>
  <si>
    <t>"The Communications, Circuits, and Sensing-Systems (CCSS) Program supports innovative research in circuit and system hardware and signal processing techniques. CCSS also supports system and network architectures for communications and sensing to enable the next-generation cyber-physical systems (CPS) that leverage computation, communication, and sensing integrated with physical domains. CCSS invests in micro- and nano-electromechanical systems (MEMS/NEMS), physical, chemical, and biological sensing systems, neurotechnologies, and communication &amp; sensing circuits and systems. The goal is to create new complex and hybrid systems ranging from nano- to macro-scale with innovative engineering principles and solutions for a variety of applications including but not limited to healthcare, medicine, environmental and biological monitoring, communications, disaster mitigation, homeland security, intelligent transportation, manufacturing, energy, and smart buildings. CCSS encourages research proposals based on emerging technologies and applications for communications and sensing such as high-speed communications of terabits per second and beyond, sensing and imaging covering microwave to terahertz frequencies, personalized health monitoring and assistance, secured wireless connectivity and sensing for the Internet of Things, and dynamic-data-enabled autonomous systems through real-time sensing and learning."</t>
  </si>
  <si>
    <t>"In today’s increasingly networked, distributed, and asynchronous world, cybersecurity involves hardware, software, networks, data, people, and integration with the physical world. However, society’s overwhelming reliance on this complex cyberspace has exposed its fragility and vulnerabilities: corporations, agencies, national infrastructure and individuals have been victims of cyber-attacks. Achieving a truly secure cyberspace requires addressing both challenging scientific and engineering problems involving many components of a system, and vulnerabilities that arise from human behaviors and choices. Examining the fundamentals of security and privacy as a multidisciplinary subject can lead to fundamentally new ways to design, build and operate cyber systems, protect existing infrastructure, and motivate and educate individuals about cybersecurity."</t>
  </si>
  <si>
    <t xml:space="preserve">Division of Integrative Organismal Systems </t>
  </si>
  <si>
    <t>"The Division of Integrative Organismal Systems (IOS) supports research aimed at understanding why organisms are structured the way they are and function as they do. Proposals should focus on organisms as a fundamental unit of biological organization. Principal Investigators (PIs) are encouraged to apply systems approaches that will lead to conceptual and theoretical insights and predictions about emergent organismal properties. Areas of inquiry include, but are not limited to, developmental biology and the evolution of developmental processes, nervous system development, structure, and function, physiological processes, functional morphology, symbioses, interactions of organisms with biotic and abiotic environments, and animal behavior."</t>
  </si>
  <si>
    <t>"Research Grants are given to qualified individuals or teams who are members of the NSS by the time the proposal is submitted for research-support in cave-related branches of study. This includes, but is not limited to, natural sciences (e.g., cave biology, geology, paleontology, and hydrology), social sciences (e.g., archaeology), and the humanities (e.g., speleological history). We also welcome interdisciplinary proposals. Grants applications will be evaluated for their   potential to generate new information and insights that are suitable for submission to peer-reviewed publications."</t>
  </si>
  <si>
    <t>&lt;$50,000 decisions made on an ongoing basis
&gt;$50,000 decisions made at board meeting</t>
  </si>
  <si>
    <t>"The International Security and the Foreign Policy Program and Domestic Public Policy Program make grants for research and writing on public policy topics that have been identified as priority areas for the Foundation."  
"The objective of the International Security and Foreign Policy Program is to assist the U.S. policy community in developing effective national security strategies and foreign policies. The Foundation is committed to supporting projects that help the policy community face the fundamental challenge of ensuring the security of the United States, protecting and promoting American interests and values abroad, and enhancing international order.
The Domestic Public Policy Program supports projects that will help the public and policy makers understand and address critical challenges facing the United States.  To that end, the Foundation supports research on and evaluation of existing public policies and programs, as well as projects that inject new ideas into public debates."</t>
  </si>
  <si>
    <t>"Anthropological research may be conducted under unusual circumstances, often in distant locations. As a result the ability to conduct potentially important research may hinge on factors that are impossible to assess from a distance and some projects with potentially great payoffs may face difficulties in securing funding. This program gives small awards that provide investigators with the opportunity to assess the feasibility of an anthropological research project. The information gathered may then be used as the basis for preparing a more fully developed research program. Projects which face severe time constraints because of transient phenomena or access to materials may also be considered."</t>
  </si>
  <si>
    <t>Dowdy Research Grant</t>
  </si>
  <si>
    <t>"BCPM seeks to assist researchers through the John and JD Dowdy Memorial Congressional Research Endowed Fund which provides financial support for on-campus work in the library's congressional collections."</t>
  </si>
  <si>
    <t>Targeted Grants in Mathematics and Physical Sciences</t>
  </si>
  <si>
    <t>one month of summer salary and related benefits</t>
  </si>
  <si>
    <t>"The Simons Foundation’s Mathematics and Physical Sciences (MPS) division invites applications for its Targeted Grants in MPS program.... The program is intended to support high-risk theoretical mathematics, physics and computer science projects of exceptional promise and scientific importance on a case-by-case basis."</t>
  </si>
  <si>
    <t>research, travel</t>
  </si>
  <si>
    <t>This fund is designed to provide support for faculty who would like to use the resources or facilities of one or more of the University’s eight Global Centers for teaching or research activities. The Columbia Global Centers are a global network of regional hubs intended to enhance the quality of research and learning at the University.  The program serves as a venture fund to enable the development of projects and research collaborations within and across these sites, in order to increase global opportunities for research, teaching and service.  Proposals are invited for planning grants (up to $25,000), for a period of no longer than one year; and project grants (up to $75,000/year), for a period of up to three years.</t>
  </si>
  <si>
    <t>Julian Pleasants Travel Award</t>
  </si>
  <si>
    <t>"On a bi-yearly basis, the Samuel Proctor Oral History Program grants a researcher with the Julian Pleasants Travel Award, designed to promote cutting edge oral history research at the University of Florida and recognize innovative scholarship.... The award includes a stipend of $1,000. Competition is open to graduate students, faculty, and independent scholars at UF and throughout the United States."</t>
  </si>
  <si>
    <t>Travel Grants</t>
  </si>
  <si>
    <t>$5,000-15,000</t>
  </si>
  <si>
    <t>"The Pulitzer Center on Crisis Reporting provides travel grants to cover hard costs associated with upcoming travel for an international reporting project. Our goal is to facilitate reporting from outside the United States. We encourage grantees from diverse backgrounds to apply. We support projects across all media platforms and encourage ones that combine print, photography, radio, and video. While the vast majority of our grants go towards international projects, currently we are accepting proposals on topics that may have a domestic focus: mass incarceration and gun violence. In both cases we have an interest in stories with a domestic focus, or a purely international angle, or projects that draw comparisons between the United States and other countries."</t>
  </si>
  <si>
    <t>Language and Area Studies
Germany and Austria</t>
  </si>
  <si>
    <t>"The Foundation supports initiatives which promote international understanding by sponsoring exchange programs between Germany, Austria and the United States such as post-doctoral research exchange programs, visiting faculty exchange programs, and exchange programs of undergraduate and graduate students both here and abroad."</t>
  </si>
  <si>
    <t>Hayek Fund for Scholars</t>
  </si>
  <si>
    <t>travel
professional development</t>
  </si>
  <si>
    <t>"IHS’s Hayek Fund can offset or cover the cost of travel and conference fees for PhD students and non-tenured faculty including post-docs, visiting assistant professors, adjuncts, and tenure-track professors.
The Hayek Fund can help pay for activities including:
Presentations at academic or professional conferences
Travel to academic job interviews on a campus or at professional/academic conferences
Travel to archives or libraries for research
Submission of unpublished manuscripts to journals or book publishers
Participation in career-development or enhancing seminars
Collaborative research projects with a faculty member and aspiring academic
Purchase of data sets necessary for research
Hire a professor to review an article you are trying to publish
Hire a professor for job market support including application review, mock job interviews, etc.
Cover PhD program application fees"</t>
  </si>
  <si>
    <t>"The Scholar-in-Residence Programme was initiated to enhance cooperation among scholars with research interest in East-West studies. Scholars-in-residence normally work with faculty members of Hong Kong Baptist University and/or other scholars at other tertiary institutions in Hong Kong. The length of the residence varies according to the research plans of the scholars concerned."</t>
  </si>
  <si>
    <t>&lt;€2,000</t>
  </si>
  <si>
    <t>Membership required
“IASA regularly offers financial awards to encourage and support research and publication within the field of audiovisual archiving and preservation…. IASA will support a research project only if there is evidence that the results are within the scope of IASA's purposes. This includes, but is not limited to the care of, access to, and long term preservation of sound and audiovisual heritage including the development of best professional standards and practice for sound and audiovisual heritage.”</t>
  </si>
  <si>
    <t>Division of Environmental Biology (DEB)</t>
  </si>
  <si>
    <t xml:space="preserve">"The Division of Environmental Biology (DEB) supports fundamental research on populations, species, communities, and ecosystems. Scientific emphases range across many evolutionary and ecological patterns and processes at all spatial and temporal scales. Areas of research include biodiversity, phylogenetic systematics, molecular evolution, life history evolution, natural selection, ecology, biogeography, ecosystem structure, function and services, conservation biology, global change, and biogeochemical cycles. Research on organismal origins, functions, relationships, interactions, and evolutionary history may incorporate field, laboratory, or collection-based approaches; observational or manipulative experiments; synthesis activities; as well as theoretical approaches involving analytical, statistical, or computational modeling.” </t>
  </si>
  <si>
    <t>Long Term Research in Environmental Biology</t>
  </si>
  <si>
    <t>Sciences
Environmental Science</t>
  </si>
  <si>
    <t xml:space="preserve">“The Long Term Research in Environmental Biology (LTREB) Program supports the generation of extended time series of data to address important questions in evolutionary biology, ecology, and ecosystem science. Research areas include, but are not limited to, the effects of natural selection or other evolutionary processes on populations, communities, or ecosystems; the effects of interspecific interactions that vary over time and space; population or community dynamics for organisms that have extended life spans and long turnover times; feedbacks between ecological and evolutionary processes; pools of materials such as nutrients in soils that turn over at intermediate to longer time scales; and external forcing functions such as climatic cycles that operate over long return intervals.
The Program intends to support decadal projects. Funding for an initial, 5-year period requires submission of a preliminary proposal and, if invited, submission of a full proposal that includes a 15-page project description. Proposals for the second five years of support (renewal proposals) are limited to a ten-page project description and do not require a preliminary proposal.” </t>
  </si>
  <si>
    <t>Knight Foundation</t>
  </si>
  <si>
    <t>Libraries</t>
  </si>
  <si>
    <t>“Knight Foundation has long supported libraries because of the vital role they play in building informed and engaged communities. Libraries function as community centers, resources for government services and important educational spaces. They play a key role in social connectedness, economic opportunity, civic engagement, access to information and technology and more. We’ve increasingly focused on funding innovation in libraries and collaborations to help them adapt to the changing community needs and preferences in the 21st century.”</t>
  </si>
  <si>
    <t>New York Community Trust</t>
  </si>
  <si>
    <t>General
A&amp;H</t>
  </si>
  <si>
    <t>NYCT’s Thriving Communities category “make(s) grants to groups that protect and create affordable housing, promote equity in the arts, improve civic engagement, and protect our environment. We support agencies working on these issues at the neighborhood level, as well as government and nonprofit institutions developing strategies. We also support efforts to improve the functioning of nonprofits and government.”
 “The annual Arts Capacity Building RFP is suspended this year to afford greater flexibility in the submission and review of related proposals. For 2021, eligible arts groups may apply for capacity-building support through The Trust’s ongoing competitive grants program (RFP available here). As in prior years, requests should focus on discrete projects that take place over a two- or three-year period and should not exceed $150,000. Development/fundraising and capital projects are not permitted.</t>
  </si>
  <si>
    <t>Public Welfare Foundation</t>
  </si>
  <si>
    <t>Public Welfare Foundation Grant</t>
  </si>
  <si>
    <t>varies, $10k up to ~$500k</t>
  </si>
  <si>
    <t>“The Public Welfare Foundation has a two-step application process that includes both a Letter of Inquiry (LOI) and a full proposal. We invite full proposals after reviewing letters of inquiry. We only consider full proposals we have invited that fit within the program guidelines and available resources.
 Current focus areas include:
 Organizations developing innovative, transformative approaches to youth and adult criminal justice reform.
 Black-led movement building focused on dismantling the structures that have caused generations of harm to Black people, building power amongst local Black community members and advancing efforts to reinvest in communities.
 Organizations and projects focused on investing in community-based solutions that reduce the over-reliance on mass incarceration
 Reframing the narrative and fostering greater transparency and urgency around the U.S. criminal justice system through storytelling, journalism and other targeted efforts.”</t>
  </si>
  <si>
    <t>H.W Wilson Foundation</t>
  </si>
  <si>
    <t xml:space="preserve">Send proof of 501c(3) status and a copy of the proposal to the Foundation’s 3rd Avenue address.
“The Foundation direct(s) its funding efforts to support libraries, library associations, historical societies, cultural programs and scholarships for library and information science programs accredited by the American Library Association.”
“H.W. Wilson Foundation is focused on providing financial assistance to causes having the greatest impact on improving the spirit, mind and body of the greatest number of people through aid, support and cooperation with charitable, benevolent, educational and religious institutions.”
</t>
  </si>
  <si>
    <t>Gladys Krieble Delmas Foundation</t>
  </si>
  <si>
    <t>Research Libraries Program</t>
  </si>
  <si>
    <t xml:space="preserve">The Research Libraries Program concentrates primarily in those areas of its founders’ interests and aims to be fully complementary to the Foundation’s other program areas (i.e., humanities scholarship, performing arts, and Venetian history and culture). The overall objective of the Research Libraries Program is to improve the ability of research libraries to serve the needs of scholarship in the humanities and the performing arts, and to help make their resources more widely accessible to scholars and the general public. Wherever possible, grants to libraries seek to promote cooperative cataloging projects, with an emphasis on access to archival, manuscript, and other unique sources; some elements of interpretation and exhibition; scholarly library publications; bibliographical and publishing projects of interest to research libraries; and collection-level preservation/conservation work and research. Small-scale digitizing is eligible for support when the process is part of a clearly defined and timely scholarly project that incorporates recognized standards for metadata production, for preservation, and for distribution. The Foundation does not support massive digitizing projects of a general nature. The geographical concentration is primarily but not exclusively directed toward European and American history and letters, broadly defined. Technological developments that support humanities research and access to humanities resources are also eligible. A limited number of modest grants will also be available for projects related to the history of the book, book culture, printing history, and related programs. Conferences designed to address these issues in collaborative ways and programs formulated to enhance or leverage similar activity by other institutions, consortia, or funding agencies will also be considered.
</t>
  </si>
  <si>
    <t xml:space="preserve">Rolling </t>
  </si>
  <si>
    <t>Grant for Japanese Studies</t>
  </si>
  <si>
    <t>"This grant aims to support projects that will enhance further understanding of Japan through academic exploration (there is a separate JFNY Grant for Arts and Culture). Such projects generally take the form of conferences, colloquia, symposia, presentations, and lectures within the United States. Successful projects may be granted up to $5,000. Priority will be given to those projects that have secured additional funding from sources other than the Japan Foundation."</t>
  </si>
  <si>
    <t>Grant for Art and Culture</t>
  </si>
  <si>
    <t>"This grant aims to support projects that will further understanding of Japanese arts and culture. Successful projects may be granted up to $5,000. Priority will be given to those projects that have secured additional funding from sources other than the Japan Foundation."</t>
  </si>
  <si>
    <t>rolling?</t>
  </si>
  <si>
    <t>&lt;$23,000</t>
  </si>
  <si>
    <t>In even calendar years (2018, 2020, etc.) the areas are:
 Chemistry
 Computer Sciences
 Earth, Ocean and Atmospheric Sciences (Starting 2018 “physical oceanography” and “aquatic geochemistry” are part of this section)
 Economics
 Energy Research
 Environmental Research (Air, Water and/or Soil)
 Materials Research
 Mathematical Sciences
 Physics
 Sociology &amp; Anthropology
 Psychology (excluding Psychobiology) 
In odd calendar years (2019, 2021, etc) the BSF supports research projects in the following broad areas:
 Biomedical Engineering
 Health Sciences
 Life Sciences (Starting from 2017, inc Ecology; note also that the sub-areas of Ecology were redefined and can be found at the end of this document)
 Psychobiology
Cooperative research is a  fundamental requirement for the BSF and is viewed by the Foundation as active collaboration between Israeli and American scientists. A joint research program must be presented in the form of a single, coordinated application, in which the roles and tasks of the respective partners are clearly defined. Each application should have at least two principal investigators (but not more than six), one from an Israeli institution and one from a U.S. institution."</t>
  </si>
  <si>
    <t>Rolling/TBD</t>
  </si>
  <si>
    <t>Oak Spring Garden Foundation</t>
  </si>
  <si>
    <t>Library Science/ Enivronmental Science</t>
  </si>
  <si>
    <t>bona fide scholars</t>
  </si>
  <si>
    <t>Free overnight housing</t>
  </si>
  <si>
    <t>"The Oak Spring Garden Library includes about 16,000 objects, including rare books, manuscripts and works of art relating to plants, gardens and landscapes, dating back to the 14th century. Beginning in January 2018 we are able to offer free overnight accommodation on the Oak Spring estate for bona fide scholars wishing to study material in the Oak Spring Garden Library
collections. Since we are only able to accommodate a limited number of scholars at any given
time, we will probably need to prioritize our visitors based on timing and topics.'</t>
  </si>
  <si>
    <t>Status TBD</t>
  </si>
  <si>
    <t>Tulane University</t>
  </si>
  <si>
    <t>The Richard E. Greenleaf Scholar-in-Residence, Visiting Professor of Latin American Studies</t>
  </si>
  <si>
    <t>rising mid career</t>
  </si>
  <si>
    <t xml:space="preserve">“The Richard E. Greenleaf Scholar-in-Residence is a program designed to bring rising, mid-career scholars in Latin American Studies to spend one or two semester(s) at the Stone Center for Latin American Studies. Applicants must hold at minimum the academic rank of Associate Professor or its equivalent as well as a record of significant publications that demonstrate the applicant‘s promise to stimulate important future advances in their subject field or discipline. In addition, applicants will be judged on their ability to work across disciplines and complement existing assets within the University. Applications are encouraged from individuals from Latin America and the Caribbean region, who can help fortify longer-term institutional collaborations between Tulane and Latin American institutions.
The selection process is directed by the Executive Committee of the Stone Center, which determines a series of critical disciplinary and subject areas that are deemed optimal for advancing the strategic needs of the Latin Americanist community each year. Nevertheless, while these areas are considered desirable, the Committee will consider all applications for the position.
Greenleaf Scholars-in-Residence at the Stone Center are expected to stimulate engagement with Latin Americanist faculty and students in a variety of ways. These might include seminars, workshops, joint research initiatives, public lectures, and/or teaching. The specific responsibilities attached to the appointment are defined in consultation with the Stone Center‘_x0080__x0099_s Executive Director.
NOTE: Applications for the 2020-2021 academic year are currently being accepted. Preference is for scholars of migration, particularly as it relates to environmental change, urbanism, or race and ethnicity, but promising candidates from any field or discipline are welcome to apply. The Greenleaf Scholar-in-Residence will teach one graduate-level seminar (in English, Spanish, or Portuguese) and pursue research while in residence on campus.”
</t>
  </si>
  <si>
    <t>Suspended</t>
  </si>
  <si>
    <t>travel, lodging, meals at 4 gatherings</t>
  </si>
  <si>
    <t>"The Obama Foundation Fellows will be a diverse set of community-minded rising stars – organizers, inventors, artists, entrepreneurs, journalists, and more – who are altering the civic engagement landscape. By engaging their fellow citizens to work together in new and meaningful ways, Obama Foundation Fellows will model how any individual can become an active citizen in their community....
Our two-year, non-residential Fellowship will offer hands-on training, resources, and leadership development. Fellows will also participate in four multi-day gatherings where they will collaborate with each other, connect with potential partners, and collectively push their work forward. Throughout the program, each Fellow will pursue a personalized plan to leverage Fellowship resources to take their work to the next level."</t>
  </si>
  <si>
    <t>"Art Omi has five distinct residency programs. Through a competitive jury process, residents are chosen, invited to attend at no cost to themselves, except travel. Abundant, catered meals and comfortable, beautiful lodgings are provided in a scenic location in Columbia County, New York. Art Omi is two hours north of New York City by train." ... "Art Omi: Writers, formerly known as Ledig House, hosts authors and translators from around the world for residencies throughout the spring and fall. The program’s strong international emphasis provides exposure for global literary voices and reflects the spirit of cultural exchange that is essential to Art Omi’s mission."</t>
  </si>
  <si>
    <t>up to $4,000</t>
  </si>
  <si>
    <t>Website will be updated in Fall 2021-Suspended due to covid                                                                          "Each year, the Friends of the Princeton University Library offer short-term Library Research Grants to promote scholarly use of the research collections. Library Research Grants are offered in a number of programs, including the study of Hellenic cultures, children’s books, Portuguese-speaking cultures, and the Age of Revolution and the Enlightenment in the Atlantic World. These Library Research Grants are meant to help defray expenses incurred in traveling to and residing in Princeton during the tenure of the grant. The length of the grant will depend on the applicant’s research proposal, but is ordinarily up to one month."</t>
  </si>
  <si>
    <t>*No new DEADLINE as of 5.21.21* not accepting applications for 2021                                                                            "The Gladstone Library offers residential scholarships and bursaries designed to support anyone working on a project that would benefit from a stay at Gladstone’s Library. These scholarships are primarily to enable those who would find the cost of staying at Gladstone’s Library difficult or prohibitive. They support research of varying topics in the Arts and the Humanities. Scholarships will only be awarded for a maximum of 1 week."</t>
  </si>
  <si>
    <t>*No new DEADLINE as of 3.5.21*                                                                              "One- to two-month fellowships are available for Ph.D. candidates, holders of the Ph.D., and degreed independent scholars, within any field of study that requires using the collections of the APS Library." ... "The APS Library offers short-term residential fellowships for conducting research in its collections. We are a leading international center for research in the history of American science and technology and its European roots, as well as early American history and culture."</t>
  </si>
  <si>
    <t>*No new DEADLINE as of 3.5.21*                                                                                         "The Kierkegaard Library offers unpaid research fellowships to serious scholars for two to eight weeks in duration during the months of June and July. Acceptance includes extensive access to the Kierkegaard Library and the opportunity to use the other libraries and facilities of St. Olaf College. Free housing on campus is provided; all other costs are the responsibility of the scholar. Participants of the program include students at graduate level and seasoned scholars. Advanced undergraduates are encouraged to apply to the Young Scholars Program.
The program entitles scholars to use the resources of the Kierkegaard Library while attending required activities that include: attend guest lectures, peer presentations, and participate in scholar seminars twice a week. The atmosphere encourages sharing of academic thoughts and opinions in relation to Kierkegaard’s writing and ideals."</t>
  </si>
  <si>
    <t>No new DEADLINE  as of 5.21.21, will not be offered in 2021                                                                                "The Teaching Innovations &amp; Professional Development Award is designed to defray costs for an early career faculty member and a graduate student who wish to attend the STP (Division 2) programming at the American Psychological Association Convention."</t>
  </si>
  <si>
    <t xml:space="preserve">*No new DEADLINE as of 2.12.21, not offered in 2020, no updates since*                                                                                                                                         "The fellowship is awarded to scholars and writers to facilitate research and the production of works of literature that utilize the collections of the State Library of Victoria and the University of Melbourne. The reward will assist with travel, living and research expenses for three to six months. Fellows will be based at the State Library of Victoria. During the fellowship period, fellows will be expected to pursue their own project, present a lecture or short seminar series open to the public, library and university communities, and submit a brief report at the conclusion of their fellowship. The fellow’s project may be in any discipline or area in which the library and the university have strong collections, including East Asian Studies, Engineering, Architecture, history, music, visual arts, and more." </t>
  </si>
  <si>
    <t>Art Omi: Translation Lab</t>
  </si>
  <si>
    <t>travel, room, board</t>
  </si>
  <si>
    <t>*No new DEADLINE as of 5.19.21* program restarts in 2021                                                               "Art Omi has five distinct residency programs. Through a competitive jury process, residents are chosen.... Abundant, catered meals and comfortable, beautiful lodgings are provided in a scenic location in Columbia County, New York. Art Omi is two hours north of New York City by train." "In early November, Art Omi: Writers hosts an annual Translation Lab, in which four English language translators are invited to work alongside the writers whose work they translate. The focused residency provides an integral stage of refinement, allowing translators to dialogue with the writers about text-specific questions. The Translation Lab emphasizes translation as a means towards cultural exchange. The residency is a rare and unique opportunity for writers and their translators to work together, considering that most writers never meet their translators in person. All text-based projects -- fiction, nonfiction, theater, film, poetry, etc. -- are eligible." Travel, room and board are fully funded</t>
  </si>
  <si>
    <t>travel stipend</t>
  </si>
  <si>
    <t>No updated DEADLINE as of 2.12.21, certain fellowships suspended due to Covid-19
"With its internationally renowned library, the ICS provides outstanding research facilities for scholars working in the fields of Ancient Greek and Latin languages and literature, Ancient History, Mycenaean Studies, Classical Archaeology and Ancient Philosophy. Specialist archive rooms are dedicated to research in the Ancient Theatre, in Epigraphy and Papyrology, and for the Ancient Commentators on Aristotle Project. Offices for research fellows are located within the area of the library. A computing room is well supplied with electronic information resources in Classics and related fields."</t>
  </si>
  <si>
    <t>Suspended due to COVID</t>
  </si>
  <si>
    <t>John Templeton Foundation</t>
  </si>
  <si>
    <t>Academic Cross-Training Fellowship</t>
  </si>
  <si>
    <t>&lt;$217,400 for up to 3 years</t>
  </si>
  <si>
    <t>No new DEADLINE as of 2.10.21/Paused due to COVID-19                                                                     "Fellowship program is intended to equip recently tenured philosophers and theologians with the skills and knowledge needed to study Big Questions that require substantive and high-level engagement with empirical science.
Each ACT Fellowship will provide up to $217,400 for up to 3 contiguous years of support for a systematic and sustained course of study in an empirical science such as physics, psychology, biology, genetics, cognitive science, neuroscience, or sociology. Acceptable courses of study might range from a plan to audit undergraduate and graduate-level courses to a plan to earn a degree in an empirical science. Fellows may undertake their study at their home institution or another institution. All fellows must have a faculty mentor in their cross-training discipline."</t>
  </si>
  <si>
    <t>Quentin Skinner Fellowship in Intellectual History Since 1500</t>
  </si>
  <si>
    <t>*Next cycle will open Fall 2021*                                                                 "In 2009 the Faculty of History [at University of Campbridge] received funding  from the International Balzan Prize Foundation to establish an annual Lecture in modern intellectual history since c. 1500. The Balzan-Skinner scholar held a Visiting Fellowship at CRASSH for one term during the academic year. He/she presented the Balzan-Skinner lecture and participated in the related symposium during the academic year of attendance. This fellowship is now known as the Quentin Skinner Fellowship in Intellectual History since c1500.  Like the Balzan-Skinner scholar the Quentin Skinner fellow will hold a Visiting Fellowship at CRASSH for one term, present the Quentin Skinner lecture, as well as organise and participate in the related symposium."</t>
  </si>
  <si>
    <t>Bellagio Academic Writing Residency</t>
  </si>
  <si>
    <t>"The Rockefeller Foundation Bellagio Center Residency Program offers academics, artists, thought leaders, policymakers, and practitioners a serene setting conducive to focused, goal-oriented work, and the unparalleled opportunity to establish new connections with fellow residents from a wide array of backgrounds, disciplines, and geographies."</t>
  </si>
  <si>
    <t>Fellowship research on site</t>
  </si>
  <si>
    <t xml:space="preserve">"The Georgia O’Keeffe Museum offers a variety of fellowships that foster research, exploration, and dialogue. It strives to provide a supportive environment for the pursuit of furthering knowledge and collaboration." Fellowships are offered for Academics, Artist in Residence, and Museum Studies. 
</t>
  </si>
  <si>
    <t>Schlesinger Research Grants</t>
  </si>
  <si>
    <t>*No new DEADLINE as of 6.11.20*                                                                              "The Schlesinger Library invites scholars who are conducting oral history interviews relevant to the history of women or gender in the United States to apply for support of up to $3,000.
This grant stipulates that the interviews take place in accordance with guidelines of the Oral History Association, that consent is obtained from interviewees for their words to be viewed by researchers worldwide, and that true copies or transcripts of the original recording of the oral interviews, as well as copies of the consent forms, be deposited in the Schlesinger Library upon completion."</t>
  </si>
  <si>
    <t>APA Travel Grants for US Psychologists to Attend International Conferences</t>
  </si>
  <si>
    <t>July 15, 2020 ; November 15, 2020 ; March 15, 2021  OTHER DEADLINES
"This award will cover or partially cover conference registration fees at international conferences held outside the United States and Canada for U.S.-based psychologists…. APA and APAGS members are eligible to apply. A conference presentation is not required, although preference will be given according to the following criteria.
1.        Significant contribution to the conference program (e.g., first author, symposium chair, roundtable moderator).
2.        Have not attended an international conference in the past two years.
3.        Early career or graduate student psychologist."</t>
  </si>
  <si>
    <t>Research Fellowship and Award</t>
  </si>
  <si>
    <t>General
Gender studies</t>
  </si>
  <si>
    <t>"To promote the interpretation of Virginia history and access to its collections, the Virginia Historical Society, funded by a matching grant from the Andrew W. Mellon Foundation and gifts from individuals, offers fellowships of up to three weeks a year....
There are three general categories of fellowships:
Andrew W. Mellon Research Fellowships cover the broad sweep of Virginia and American history, for example, supporting research on political, constitutional, religious, African American, military, and social issues.
The Betty Sams Christian Fellowships in business history cover studies in economic history, trade, industrial and commercial subjects, and labor relations.
The Frances Lewis Fellowships in Gender and Women's Studies support work in gender roles and the history of women."</t>
  </si>
  <si>
    <t>Dumbarton Oaks</t>
  </si>
  <si>
    <t>Faculty Residencies - Plant Humanities Program (1 week)</t>
  </si>
  <si>
    <t xml:space="preserve">"Dumbarton Oaks, a Harvard research institute located in Washington, DC, invites applications for one-week summer residencies. The residencies aim to provide opportunities for professional and intellectual enrichment to college teachers from a broad spectrum of institutions, and we particularly encourage applications from faculty teaching at four-year teaching institutions and community colleges. The residencies will focus on the historical significance of plants to human culture through engagement with the rare book collection, digital tools, the library, and the historic garden at Dumbarton Oaks. Participants will receive support to research and integrate primary sources into their classroom teaching, explore tangible examples of how to integrate plants into their curriculum, and have time and resources to develop engaging lesson plans."
</t>
  </si>
  <si>
    <t>RSA</t>
  </si>
  <si>
    <t>RSA-Kress Short-Term Research Fellowships in Renaissance Art History</t>
  </si>
  <si>
    <t xml:space="preserve">“RSA-Samuel H. Kress Short-Term Research Fellowships support scholarly research at the archive, collection, site, library, or other venue for scholarship of one’s choice.”
</t>
  </si>
  <si>
    <t>University of Rochester</t>
  </si>
  <si>
    <t>Fellows will receive a stipend up to $60,000 commensurate with experience and need, as well as an allowance of $5,000 for research and travel related to their project.</t>
  </si>
  <si>
    <t>Applicants may be in any field of humanistic study, including anthropology, art and art history, classics, English, history, modern languages and cultures, music, philosophy, or religion.
Fellows will participate in the bi-weekly Humanities Center seminar and in the Center’s other workshops, conferences, and programs. They are expected to be in residence in Rochester and to play an active role in the Center’s community of faculty, graduate students, and undergraduates. Fellows will present the results of their research at least once during their tenure at the Center</t>
  </si>
  <si>
    <t>A Round Table for the American Library Association</t>
  </si>
  <si>
    <t>Will Eisner Graphic Novel Grants for Libraries</t>
  </si>
  <si>
    <t xml:space="preserve">Send one completed application cover sheet and proposal with budget to the ALA Staff Liaison via email.  Details available at http://www.ala.org/rt/gamert/will-eisner-graphic-novel-grants-libraries.
“The Will Eisner Graphic Novel Growth Grant will provide support to a library that would like to expand its existing graphic novel services and programs and the Will Eisner Graphic Novel Innovation Grant will provides support to a library for the initiation of a graphic novel service, program or initiative. These Grants will support two categorical grants that will encourage public awareness on the rise and importance of graphic literature, sequential art, and comics as a literary medium.  The objective of the Will Eisner Graphic Novel Grants for Libraries is to facilitate library-generated programs and services that will promote graphic novels to library patrons and to the local community.”
</t>
  </si>
  <si>
    <t xml:space="preserve">ACLS Fellowships </t>
  </si>
  <si>
    <t>up to $60,000</t>
  </si>
  <si>
    <t>“ACLS invites research applications from scholars in all disciplines of the humanities and related social sciences. Faculty appointments are not required. The ultimate goal of the project should be a major piece of scholarly work by the applicant, which can take the form of a monograph, articles, digital publication(s), critical edition, or other scholarly resources. The ACLS Fellowship program does not fund creative work (e.g., novels or films), textbooks, straightforward translation, or pedagogical projects.
ACLS Fellowships are intended as salary replacement to help scholars devote six to twelve continuous months to full-time research and writing. The awards are portable and are tenable at the fellow's home institution, abroad, or at another appropriate site for research. (1) An ACLS Fellowship may be held concurrently with other fellowships and grants and any sabbatical pay, up to an amount equal to the candidate's current academic year salary. Tenure of the fellowship may begin no earlier than July 1, 2020 and no later than February 1, 2021.”</t>
  </si>
  <si>
    <t>Next cycle applications will open Fall 2022                                   "Over the course of two summers, some 40 young leaders are brought together to explore and discuss important topics of mutual interest. Once selected for the Program, participants gain lifelong access to the unique pool of USJLP talent, connections and opportunities.
To qualify for the 2015-2016 USJLP conferences, candidates must hold U.S. or Japan citizenship, be between the ages of 28 and 42 as of the first day of the 2016 conference (July 16, 2016), and have demonstrated leadership, achievement, or the potential for leadership in their respective fields. USJLP strives to achieve a diverse and balanced class each year, and consideration will be given to proven leaders from a broad spectrum of careers and backgrounds."</t>
  </si>
  <si>
    <t>monthly stipend, housing, work space</t>
  </si>
  <si>
    <t>"The Fine Arts Work Center offers a unique residency for writers and visual artists in the crucial early stages of their careers. Located in Provincetown, Massachusetts, an area with a long history as an arts colony, the Work Center provides seven-month Fellowships to twenty Fellows each year in the form of living/work space and a modest monthly stipend. Residencies run from October 1 through April 30. Fellows have the opportunity to pursue their work independently in a diverse and supportive community of peers."</t>
  </si>
  <si>
    <t>Joint Projects</t>
  </si>
  <si>
    <t>Up to $15,000</t>
  </si>
  <si>
    <t xml:space="preserve">The Institute for Religion, Culture, and Public Life seeks proposals from Columbia University faculty for Joint Projects that aim to understand the role of religion and secularism, both historically and in the contemporary world. Joint Project funding may be applied to research projects, seminars, conferences, working groups, and other programs that bring together an interdisciplinary group of scholars. </t>
  </si>
  <si>
    <t>Robert Giard Foundation</t>
  </si>
  <si>
    <t>Robert Giard Fellowship</t>
  </si>
  <si>
    <t>Creative Arts
Visual Art
Gender studies</t>
  </si>
  <si>
    <t>"An annual award named for Robert Giard, a portrait, landscape, and figure photographer whose work often focused on LGBTQ lives and issues, this award is presented to an emerging or mid-career artist, from any country, working in photography, photo-based media, or moving image, including experimental, narrative, or documentary forms of these media. The award now alternates annually between artists working with still image (photography) and those working with moving image (video or film). This year’s award is for still images. This award will support the development or completion of a project, one that is new or continuing, that addresses issues of sexuality, gender, or LGBTQ identity. The Foundation is receptive to a variety of projects and approaches to these topics."</t>
  </si>
  <si>
    <t xml:space="preserve">Fellows </t>
  </si>
  <si>
    <t>5+ years experience</t>
  </si>
  <si>
    <t>$6,000/1 month</t>
  </si>
  <si>
    <t>KS signed up for mailing list
"We select the best and the brightest practitioners in the field and award them a $6,000 stipend and a month of valuable, cutting-edge training. Our curriculum is delivered by a faculty of global experts who work closely with each carefully selected cohort of Fellows to explore new ways to apply market-based approaches to environmental issues.
With our case study methodology, Fellows find new solutions to real life conservation challenges. Over the course of a month, Fellows attend dynamic sessions, participate in collaborative and independent projects, and enjoy a rich, multi-faceted experience."</t>
  </si>
  <si>
    <t>Pearson Early Career Grant</t>
  </si>
  <si>
    <t>NOT OFFERED 2020
"The Pearson Early Career Grant supports psychology’s efforts to improve areas of critical need in society and encourages talented early career psychologists to devote their careers to solving social problems. The Pearson Grant encourages the use of sound assessment."</t>
  </si>
  <si>
    <t>foreign policy and international relations</t>
  </si>
  <si>
    <t>$13500/month</t>
  </si>
  <si>
    <t>"The Kissinger Program establishes a non-partisan focus in the nation’s capital for the discussion of key issues in foreign affairs. The Program serves as a catalyst for the fresh analysis of foreign affairs in the global era by sustaining in perpetuity two appointments—the Kissinger Chair and the Kissinger Lecturer—and related programs that ensure that the subject of foreign affairs receives reflective and considered treatment each year in Washington, D.C."</t>
  </si>
  <si>
    <t>NYSCA</t>
  </si>
  <si>
    <t>Literature</t>
  </si>
  <si>
    <t>“NYSCA is committed to the development and support of literary activity for underserved areas and audiences, and to activity that supports writers who represent the cultural diversity of New York State. Priority is given to applicants that demonstrate artistic excellence and a consistent policy of payment to writers. Applicants are encouraged to make substantial efforts to reach and to creatively engage a wide audience through innovative literary programming and promotional efforts.”
 FUNDING CATEGORIES
 General Operating Support
 Book &amp; Literary Magazine Publication
 Public Programs
 Literary Translation
 Regrants and Partnerships Support</t>
  </si>
  <si>
    <t>Whiting Foundation</t>
  </si>
  <si>
    <t>Literary Magazine Prizes</t>
  </si>
  <si>
    <t>rize for a medium-sized print magazine (budget of &lt;$500,000): An outright grant of $20,000 in 2021 (with an additional matching* grant of up to $20,000 per year for the following two years)
    •   Prize for a smaller print magazine (budget of &lt;$150,000): An outright grant of $10,000 in 2021 (with an additional matching* grant of up to $10,000 per year for the following two years)
    •   Print development grant (budget of &lt;$50,000): An outright grant of $5,000 in 2021 (with an additional matching* grant of up to $5,000 per year for the following two years)</t>
  </si>
  <si>
    <t>“By offering support that unfolds over several years, the Whiting Foundation hopes to ignite growth. What distinguishes this prize is the call to action built into its design: winning magazines will be encouraged to strive for visionary goals – reaching for new talent and investing in their own sustainability, as well as their ability to bring their writers to a wider readership.</t>
  </si>
  <si>
    <t>Institute of Museum and Library Services</t>
  </si>
  <si>
    <t>Community Catalyst Initiative</t>
  </si>
  <si>
    <t xml:space="preserve">“Community Catalyst draws on the unique relationships, knowledge, networks, and spaces of museums and libraries to encourage meaningful collaborations with local non-profit and community development organizations, community associations, and individual community members. The initiative supports the library and museum sectors by:
supporting adoption of practices in current community development and developmental evaluation at a local level;
discovering opportunities for libraries and museums to better serve particular populations, such as veterans, and developing tools grounded in user-centered design and partnerships;
researching how to best draw upon local assets, STEM practitioners, to motivate science inquiry within in the unique family learning environments offered by libraries and museums;
analyzing the contributions of museums and libraries to the wellbeing of their communities on a national scale through the Understanding the Social Wellbeing Impacts of the Nation’s Libraries and Museums study; and
creating a draft Theory of Change (PDF, 134 KB) to establish actions, outputs, and longer term outcomes that are anticipated from capacity-building and research projects.
Approaches and tools are gleaned from current practices in museums and libraries, community development projects, capacity-building investments, and researchers and data analysts who seek to identify potential levers and outcomes to effect community change.”
</t>
  </si>
  <si>
    <t>TBA - previously 12/1/20</t>
  </si>
  <si>
    <t>Scholars-in-Residence</t>
  </si>
  <si>
    <t>$2,500/month
$35,000/6 months</t>
  </si>
  <si>
    <t>"The Schomburg Center Scholars-in-Residence Program offers long-term and short-term fellowships to support scholars and writers working on projects that would benefit from access to the Center's extensive resources for the study of African diasporic history, politics, literature, and culture.
The Schomburg Center is a world-renowned repository of sources on every facet of the African diasporic experience, with extensive holdings including numerous unique manuscript and archival collections as well as a comprehensive range of publications, photographs, films, audio recordings, and visual art."</t>
  </si>
  <si>
    <t>TBA after July 1</t>
  </si>
  <si>
    <t>Sparkplug Foundation</t>
  </si>
  <si>
    <t>Sparkplug Foundation Grant</t>
  </si>
  <si>
    <t xml:space="preserve">“The Sparkplug Foundation is a family foundation that funds start-up organizations and new projects of established organizations in music, education and community organizing. We aim to support the development of emerging democratic movements and communities working on issues of local democracy, justice, and sustainable energy in the rebuilding of the U.S. and global economies. Sparkplug funding is for materials and activities that help your work become more sustainable. It can cover organization-building materials like flyers, pamphlets or websites. It can cover training/recruiting expenses like meeting costs. And it can cover long-lasting items like software (things that you only need to buy once, but that can really advance your work.)
The Sparkplug Foundation funds operating expenses like salaries and stipends or space rentals only as one time expenses that are part of creating a new organizations or project. For instance, we have funded short-term salaries for people to teach community members how to be organizers -- because creating a crew of local organizers makes it possible for the organization to carry its work forward.”
</t>
  </si>
  <si>
    <t>TBD</t>
  </si>
  <si>
    <t>“As with its other programs, the Whiting Foundation offers winners support beyond the prize itself, lining up expert advisors for consultation with winners to help tackle perpetual challenges such as fundraising and marketing, and helping them form a cohort that will convene several times a year to think through challenges and opportunities they share.</t>
  </si>
  <si>
    <t xml:space="preserve">A&amp;H
Translation </t>
  </si>
  <si>
    <t>Published</t>
  </si>
  <si>
    <t>“Applicants must be not-for-profit, have annual budgets of no more than $500,000, and have published at least annually for at least the last three years. Because of IRS restrictions on the use of funds by private foundations like Whiting, applicants must be based in the US and must be a federally-recognized nonprofit classified as a public charity, or operate with a 501(c)(3) organization regularly serving as a fiscal sponsor, to be eligible for these prizes. More information about fiscal sponsorship is available here.”</t>
  </si>
  <si>
    <t>Georgian Papers Programme</t>
  </si>
  <si>
    <t>"King’s College London offers the award of a bursary to support original research on the Royal Archives at Windsor Castle for up to a month during the summer. These bursaries are open to all researchers. The Programme is promoting and developing a research programme in support of the digitization of some 350,000 pages of original archives. Fellows will undertake their own research and also be invited by staff of the Georgian Papers Programme to share their insights into the collection and join with fellows from other schemes at a number of events as part of a growing academic cohort."
"The School lies at the heart of a global research community, acting both as a national hub for advanced level research into the humanities and social sciences and an international meeting point and research resource for scholars from all over the world.
Each year the School welcomes around 140 visiting research fellows who benefit from its unique research resources and multidisciplinary scholarly community."</t>
  </si>
  <si>
    <t>tbd</t>
  </si>
  <si>
    <t>Florence Gould Foundation</t>
  </si>
  <si>
    <t>Florence Gould Foundation Grant</t>
  </si>
  <si>
    <t xml:space="preserve">: By letter of inquiry or telephone call.  No website is available.
The Foundation has given 50 grants to New York archives and collections, including the Grolier Club of the City of New York, the New York Public Library, the Frick Collection, the Pierpont Morgan Library, the Medici Archive Project, and Columbia University for the John Jay papers.  Information may be found in the Foundation Center Directory through CLIO.
</t>
  </si>
  <si>
    <t>Institute of Museum and Library Sciences</t>
  </si>
  <si>
    <t>Laura Bush 21st Century Librarian Program</t>
  </si>
  <si>
    <t>“The Laura Bush 21st Century Librarian Program (LB21) supports developing a diverse workforce of librarians to better meet the changing learning and information needs of the American public by enhancing the training and professional development of library and archives professionals; developing faculty and library leaders; and recruiting, educating, and retaining the next generation of library and archives professionals. To foster the adoption and spread of innovations and practices, IMLS encourages proposals at varying stages of maturity including the emergence of new ideas, validation of existing approaches, and practices for scaling up across library and archives communities. Successful proposals may generate new tools, research findings, models, services, practices, or alliances that can be widely used, adapted, scaled, or replicated to extend the benefits of federal investment. Each phase in a project’s life cycle offers opportunities to learn, discover, develop, and test new ideas, activities, software, services, etc.</t>
  </si>
  <si>
    <t>Leon Levy Foundation</t>
  </si>
  <si>
    <t>Archives and Catalogue Program</t>
  </si>
  <si>
    <t xml:space="preserve">“Since 2005, the Leon Levy Foundation has awarded $22 million to more than 40 arts and humanities organizations to help them catalogue, preserve, digitize, and provide access to letters, photos, meeting minutes, accounts, and other treasures in their collections and their institutional records.”
Awardees in the performing arts include BAM, New York Philharmonic, New York City Ballet, Martha Graham Center for Contemporary Dance, Manhattan Theatre Club, Roundabout Theater, New York City Opera, School of the American Ballet, Ping Chong + Company, and more.
</t>
  </si>
  <si>
    <t>TBD- announced early 2021</t>
  </si>
  <si>
    <t>All applications must designate one of the following project categories:</t>
  </si>
  <si>
    <t>Varies</t>
  </si>
  <si>
    <t>Distinguished Fellows Grants</t>
  </si>
  <si>
    <t>Community Catalysts</t>
  </si>
  <si>
    <t>Each year, approximately 25 scholars are selected as Members in the School of Social Science. A completed doctorate or equivalent is required by the application deadline. Memberships are awarded at both the junior and senior levels. They are for the full academic year only unless the scholar is from a country with an academic calendar that is substantially different than the one in the U.S., in which case single-term Memberships will be considered. Although preference is given to new applicants, scholars may be considered for a second residency if a sufficient amount of time has passed since their initial Membership.
Members are expected only to pursue their own research and participate in the seminars. The theme for 2022-23 is Climate Crisis Politics.  Applications outside the theme are also welcomed. An interdisciplinary dialogue will be fostered and applications are strongly encouraged from scholars across the social sciences, whether or not their research corresponds to the theme.</t>
  </si>
  <si>
    <t>Various</t>
  </si>
  <si>
    <t>"The nine institutes within the School of Advanced Study offer a number of visiting research fellowships in their specialist subject areas. The Institutes offer a number of visiting and research fellowships in legal studies, classical studies, Commonwealth studies, English studies, historical research, Latin American studies, modern languages, philosophy, and the classical tradition of Europe. The fellowships vary in length and in the stipend amounts. The application deadlines vary between the Institutes."</t>
  </si>
  <si>
    <t>California Humanities</t>
  </si>
  <si>
    <t>California Humanities Grants</t>
  </si>
  <si>
    <t>“Project Grants ($10,00 to $20,000) will be awarded twice a year for larger public humanities projects of up to two-years’ duration. Appropriate programming formats include but are not limited to interpretive exhibits, community dialogue and discussion series, workshops and participatory activities, presentations and lectures, conversations and forums, and interactive and experiential activities. Eligibility is limited to California-based nonprofit organizations and non-federal public agencies. Note: Awards must be matched with an equivalent amount of cash or in-kind resources over the life of the project.”</t>
  </si>
  <si>
    <t>New York Council on the Arts</t>
  </si>
  <si>
    <t>Art's Education</t>
  </si>
  <si>
    <t>curricular development</t>
  </si>
  <si>
    <t xml:space="preserve">“PROGRAM GOALS
Provide students of all ages and abilities throughout New York State with arts learning experiences of enduring quality through sustained, multi-session, hands-on processes
Promote high-quality arts teaching through the incorporation of recognized arts learning standards, along with strong evaluation and assessment components
Strengthen the state’s arts ecosystem with an emphasis on fair compensation and meaningful professional development opportunities for teaching and resident artists
Encourage innovation and sharing of knowledge in the changing arts education environment by supporting unique partnerships and exceptional field services.
FUNDING CATEGORIES
General Operating Support
Community Based Learning
K-12 In-School Programs
Services to the Field
Regrants and Partnerships”
</t>
  </si>
  <si>
    <t>Museum</t>
  </si>
  <si>
    <t xml:space="preserve">“NYSCA advances museums and related professional service organizations by offering support for arts, cultural and heritage activities. The Museum Program underscores the importance of clear planning to foster stronger institutions, and encourages creative thinking to better serve the public.
PROGRAM GOALS
Recognize excellence in museums engaged in arts and cultural activities.
Encourage creativity.
Foster life-long learning through museums.
Expand audiences for museums.
Recognize strong leadership and institutional management.
Support non-profit organizations providing opportunities for museum professionals.
FUNDING CATEGORIES
General Operating Support
Project Support
Regrants and Partnerships”
</t>
  </si>
  <si>
    <t>Special Arts</t>
  </si>
  <si>
    <t xml:space="preserve">“Both established and emerging organizations can receive support. The program encourages collaborations and innovative projects, either multi-disciplinary or focused on a specific discipline of the performing arts, visual arts or media. SAS also supports professional arts training, promoting advanced study as well as the entry of underserved artists pursuing arts careers.
PROGRAM GOALS
Enhance access to the arts for historically underserved communities
Bring the arts to isolated geographic areas and to communities with high rates of poverty
Design programming for people with disabilities
Offer scholarships for arts training and tuition-free or low-cost classes serving students from historically underserved communities or with disabilities
Promote intergenerational and multi-cultural communities, including ethnic traditions that serve their own unique and diverse populations
FUNDING CATEGORIES
General Operating Support
Project Support
Instruction &amp; Training
Regrants and Partnerships”
</t>
  </si>
  <si>
    <t>New York Women's Foundation</t>
  </si>
  <si>
    <t>New York Women's Foundation Grant</t>
  </si>
  <si>
    <t>“The New York Women’s Foundation funds women leaders building solutions in their communities. Having distributed $7.6 million in 2016, The New York Women’s Foundation’s grantmaking places it at the top women’s foundations in the U.S., and second in the world. We boldly invest in organizations and leaders that strive for justice, economic security, safety, and health for women and families."</t>
  </si>
  <si>
    <t>Public Engagement with Historical Records</t>
  </si>
  <si>
    <t>N/A</t>
  </si>
  <si>
    <t>$50k-150k</t>
  </si>
  <si>
    <t xml:space="preserve">The National Historical Publications and Records Commission seeks projects that encourage public engagement with historical records, including the development of new tools that enable people to engage online. </t>
  </si>
  <si>
    <t>Other</t>
  </si>
  <si>
    <t>NHPRC-Mellon Start-Up Grants for Collaborative Digital Editions in African American, Asian American, Hispanic American, and Native American History</t>
  </si>
  <si>
    <t>"The National Historical Publications and Records Commission (NHPRC), with funding provided by the Andrew W. Mellon Foundation, seeks proposals for its new program for Collaborative Digital Editions in African American, Asian American, Hispanic American, and Native American History.  With an overarching goal to broaden participation in the production and publication of historical and scholarly digital editions."</t>
  </si>
  <si>
    <t>Asian Women Giving Circle</t>
  </si>
  <si>
    <t>We support Asian American women-led organizations and individual artists in NYC who are using arts and culture to:
bring about progressive social transformation,
raise awareness and catalyze action around critical issues that affect Asian American women, girls and families, and
highlight and promote women’s central role as leaders, creators, developers and managers of these projects.</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</si>
</sst>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mm/dd/yyyy"/>
    <numFmt numFmtId="165" formatCode="m&quot;/&quot;d&quot;/&quot;yy"/>
    <numFmt numFmtId="166" formatCode="&quot;$&quot;#,##0"/>
    <numFmt numFmtId="167" formatCode="[$€]#,##0.00"/>
    <numFmt numFmtId="168" formatCode="m/d/yy"/>
    <numFmt numFmtId="169" formatCode="&quot;$&quot;#,##0_);[Red]\(&quot;$&quot;#,##0\)"/>
    <numFmt numFmtId="170" formatCode="m/d/yyyy"/>
    <numFmt numFmtId="171" formatCode="&quot;$&quot;#,##0.00"/>
  </numFmts>
  <fonts count="49">
    <font>
      <sz val="11.0"/>
      <color rgb="FF000000"/>
      <name val="Calibri"/>
      <scheme val="minor"/>
    </font>
    <font>
      <b/>
      <sz val="10.0"/>
      <color rgb="FF000000"/>
      <name val="Calibri"/>
    </font>
    <font>
      <sz val="11.0"/>
      <color rgb="FF000000"/>
      <name val="Calibri"/>
    </font>
    <font>
      <sz val="10.0"/>
      <color theme="1"/>
      <name val="Calibri"/>
    </font>
    <font>
      <u/>
      <sz val="10.0"/>
      <color rgb="FF366092"/>
      <name val="Calibri"/>
    </font>
    <font>
      <sz val="10.0"/>
      <color rgb="FF366092"/>
      <name val="Calibri"/>
    </font>
    <font>
      <sz val="10.0"/>
      <color rgb="FF000000"/>
      <name val="Calibri"/>
    </font>
    <font>
      <u/>
      <sz val="10.0"/>
      <color rgb="FF1155CC"/>
      <name val="Calibri"/>
    </font>
    <font>
      <sz val="10.0"/>
      <color rgb="FF3366CC"/>
      <name val="Calibri"/>
    </font>
    <font>
      <u/>
      <sz val="10.0"/>
      <color rgb="FF366092"/>
      <name val="Calibri"/>
    </font>
    <font>
      <u/>
      <sz val="11.0"/>
      <color rgb="FF366092"/>
      <name val="Calibri"/>
    </font>
    <font>
      <u/>
      <sz val="10.0"/>
      <color rgb="FF0000FF"/>
      <name val="Calibri"/>
    </font>
    <font>
      <u/>
      <sz val="10.0"/>
      <color theme="8"/>
      <name val="Calibri"/>
    </font>
    <font>
      <u/>
      <sz val="10.0"/>
      <color rgb="FF366092"/>
      <name val="Calibri"/>
    </font>
    <font>
      <u/>
      <sz val="10.0"/>
      <color theme="10"/>
      <name val="Calibri"/>
    </font>
    <font>
      <sz val="10.0"/>
      <color rgb="FF0070C0"/>
      <name val="Calibri"/>
    </font>
    <font>
      <u/>
      <sz val="11.0"/>
      <color theme="4"/>
      <name val="Calibri"/>
    </font>
    <font>
      <u/>
      <sz val="10.0"/>
      <color rgb="FF366092"/>
      <name val="Calibri"/>
    </font>
    <font>
      <u/>
      <sz val="10.0"/>
      <color rgb="FF0563C1"/>
      <name val="Calibri"/>
    </font>
    <font>
      <u/>
      <sz val="11.0"/>
      <color theme="10"/>
      <name val="Calibri"/>
    </font>
    <font>
      <u/>
      <sz val="11.0"/>
      <color rgb="FF1155CC"/>
      <name val="Calibri"/>
    </font>
    <font>
      <sz val="10.0"/>
      <color rgb="FF333333"/>
      <name val="Calibri"/>
    </font>
    <font>
      <color theme="1"/>
      <name val="Calibri"/>
      <scheme val="minor"/>
    </font>
    <font>
      <u/>
      <sz val="11.0"/>
      <color rgb="FF0070C0"/>
      <name val="Calibri"/>
    </font>
    <font>
      <u/>
      <sz val="10.0"/>
      <color rgb="FF0000FF"/>
      <name val="Calibri"/>
    </font>
    <font>
      <u/>
      <sz val="10.0"/>
      <color rgb="FF366092"/>
      <name val="Calibri"/>
    </font>
    <font>
      <u/>
      <sz val="10.0"/>
      <color rgb="FF1155CC"/>
      <name val="Calibri"/>
    </font>
    <font>
      <u/>
      <sz val="10.0"/>
      <color rgb="FF0000FF"/>
      <name val="Calibri"/>
    </font>
    <font>
      <u/>
      <sz val="10.0"/>
      <color rgb="FF366092"/>
      <name val="Calibri"/>
    </font>
    <font>
      <b/>
      <sz val="10.0"/>
      <color theme="1"/>
      <name val="Calibri"/>
    </font>
    <font>
      <sz val="11.0"/>
      <color theme="1"/>
      <name val="Calibri"/>
    </font>
    <font>
      <sz val="12.0"/>
      <color rgb="FF000000"/>
      <name val="Calibri"/>
    </font>
    <font>
      <sz val="11.0"/>
      <color rgb="FF231F20"/>
      <name val="Calibri"/>
    </font>
    <font>
      <u/>
      <sz val="10.0"/>
      <color rgb="FF0070C0"/>
      <name val="Calibri"/>
    </font>
    <font>
      <u/>
      <sz val="10.0"/>
      <color rgb="FF1155CC"/>
      <name val="Calibri"/>
    </font>
    <font>
      <sz val="10.0"/>
      <color rgb="FF777777"/>
      <name val="Arial"/>
    </font>
    <font>
      <u/>
      <sz val="10.0"/>
      <color rgb="FF366092"/>
      <name val="Arial"/>
    </font>
    <font>
      <u/>
      <sz val="10.0"/>
      <color rgb="FF366092"/>
      <name val="Calibri"/>
    </font>
    <font>
      <u/>
      <sz val="10.0"/>
      <color rgb="FF366092"/>
      <name val="Calibri"/>
    </font>
    <font>
      <u/>
      <sz val="10.0"/>
      <color rgb="FF4472C4"/>
      <name val="Calibri"/>
    </font>
    <font>
      <u/>
      <sz val="10.0"/>
      <color theme="8"/>
    </font>
    <font>
      <u/>
      <sz val="10.0"/>
      <color rgb="FF000000"/>
      <name val="Calibri"/>
    </font>
    <font>
      <sz val="11.0"/>
      <color theme="4"/>
      <name val="Calibri"/>
    </font>
    <font>
      <sz val="12.0"/>
      <color rgb="FF231F20"/>
      <name val="Calibri"/>
    </font>
    <font>
      <sz val="10.0"/>
      <color rgb="FF231F20"/>
      <name val="Calibri"/>
    </font>
    <font>
      <u/>
      <sz val="11.0"/>
      <color rgb="FF1155CC"/>
      <name val="Calibri"/>
    </font>
    <font>
      <u/>
      <color rgb="FF1155CC"/>
    </font>
    <font>
      <u/>
      <color rgb="FF1155CC"/>
    </font>
    <font>
      <u/>
      <sz val="11.0"/>
      <color rgb="FF1155CC"/>
    </font>
  </fonts>
  <fills count="5">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1" fillId="0" fontId="1" numFmtId="14" xfId="0" applyAlignment="1" applyBorder="1" applyFont="1" applyNumberFormat="1">
      <alignment horizontal="center" shrinkToFit="0" vertical="center" wrapText="1"/>
    </xf>
    <xf borderId="1" fillId="0" fontId="1" numFmtId="0" xfId="0" applyAlignment="1" applyBorder="1" applyFont="1">
      <alignment horizontal="center" shrinkToFit="0" vertical="center" wrapText="1"/>
    </xf>
    <xf borderId="1" fillId="0" fontId="1" numFmtId="0" xfId="0" applyAlignment="1" applyBorder="1" applyFont="1">
      <alignment horizontal="left" shrinkToFit="0" vertical="center" wrapText="1"/>
    </xf>
    <xf borderId="0" fillId="0" fontId="2" numFmtId="0" xfId="0" applyFont="1"/>
    <xf borderId="1" fillId="0" fontId="3" numFmtId="0" xfId="0" applyAlignment="1" applyBorder="1" applyFont="1">
      <alignment horizontal="center" readingOrder="0" shrinkToFit="0" vertical="center" wrapText="1"/>
    </xf>
    <xf borderId="1" fillId="0" fontId="4"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0" fontId="3" numFmtId="14" xfId="0" applyAlignment="1" applyBorder="1" applyFont="1" applyNumberFormat="1">
      <alignment horizontal="center" shrinkToFit="0" vertical="center" wrapText="1"/>
    </xf>
    <xf borderId="1" fillId="0" fontId="3" numFmtId="0" xfId="0" applyAlignment="1" applyBorder="1" applyFont="1">
      <alignment horizontal="left" readingOrder="0" shrinkToFit="0" vertical="center" wrapText="1"/>
    </xf>
    <xf borderId="1" fillId="0" fontId="3" numFmtId="164" xfId="0" applyAlignment="1" applyBorder="1" applyFont="1" applyNumberFormat="1">
      <alignment horizontal="center" readingOrder="0" shrinkToFit="0" vertical="center" wrapText="1"/>
    </xf>
    <xf borderId="1" fillId="0" fontId="7" numFmtId="0" xfId="0" applyAlignment="1" applyBorder="1" applyFont="1">
      <alignment horizontal="center" readingOrder="0" shrinkToFit="0" vertical="center" wrapText="1"/>
    </xf>
    <xf borderId="1" fillId="0" fontId="5" numFmtId="0" xfId="0" applyAlignment="1" applyBorder="1" applyFont="1">
      <alignment horizontal="center" readingOrder="0" shrinkToFit="0" vertical="center" wrapText="1"/>
    </xf>
    <xf borderId="1" fillId="0" fontId="8" numFmtId="0" xfId="0" applyAlignment="1" applyBorder="1" applyFont="1">
      <alignment horizontal="center" shrinkToFit="0" vertical="center" wrapText="1"/>
    </xf>
    <xf borderId="1" fillId="0" fontId="6" numFmtId="0" xfId="0" applyAlignment="1" applyBorder="1" applyFont="1">
      <alignment horizontal="left" readingOrder="0" shrinkToFit="0" vertical="center" wrapText="1"/>
    </xf>
    <xf borderId="1" fillId="0" fontId="9" numFmtId="0" xfId="0" applyAlignment="1" applyBorder="1" applyFont="1">
      <alignment horizontal="center" readingOrder="0" shrinkToFit="0" vertical="center" wrapText="1"/>
    </xf>
    <xf borderId="1" fillId="0" fontId="3" numFmtId="0" xfId="0" applyAlignment="1" applyBorder="1" applyFont="1">
      <alignment horizontal="center" shrinkToFit="0" vertical="center" wrapText="1"/>
    </xf>
    <xf borderId="1" fillId="0" fontId="3" numFmtId="165" xfId="0" applyAlignment="1" applyBorder="1" applyFont="1" applyNumberFormat="1">
      <alignment horizontal="center" readingOrder="0" shrinkToFit="0" vertical="center" wrapText="1"/>
    </xf>
    <xf borderId="1" fillId="0" fontId="10" numFmtId="0" xfId="0" applyAlignment="1" applyBorder="1" applyFont="1">
      <alignment horizontal="center" shrinkToFit="0" vertical="center" wrapText="1"/>
    </xf>
    <xf borderId="1" fillId="0" fontId="3" numFmtId="165" xfId="0" applyAlignment="1" applyBorder="1" applyFont="1" applyNumberFormat="1">
      <alignment horizontal="center" readingOrder="0" shrinkToFit="0" vertical="center" wrapText="1"/>
    </xf>
    <xf borderId="1" fillId="0" fontId="11" numFmtId="0" xfId="0" applyAlignment="1" applyBorder="1" applyFont="1">
      <alignment horizontal="center" readingOrder="0" shrinkToFit="0" vertical="center" wrapText="1"/>
    </xf>
    <xf borderId="1" fillId="0" fontId="6" numFmtId="166" xfId="0" applyAlignment="1" applyBorder="1" applyFont="1" applyNumberFormat="1">
      <alignment horizontal="center" shrinkToFit="0" vertical="center" wrapText="1"/>
    </xf>
    <xf borderId="1" fillId="0" fontId="12" numFmtId="0" xfId="0" applyAlignment="1" applyBorder="1" applyFont="1">
      <alignment horizontal="center" shrinkToFit="0" vertical="center" wrapText="1"/>
    </xf>
    <xf borderId="1" fillId="0" fontId="6" numFmtId="167" xfId="0" applyAlignment="1" applyBorder="1" applyFont="1" applyNumberFormat="1">
      <alignment horizontal="center" shrinkToFit="0" vertical="center" wrapText="1"/>
    </xf>
    <xf borderId="1" fillId="0" fontId="6" numFmtId="14" xfId="0" applyAlignment="1" applyBorder="1" applyFont="1" applyNumberFormat="1">
      <alignment horizontal="center" shrinkToFit="0" vertical="center" wrapText="1"/>
    </xf>
    <xf borderId="1" fillId="0" fontId="6" numFmtId="0" xfId="0" applyAlignment="1" applyBorder="1" applyFont="1">
      <alignment horizontal="left" shrinkToFit="0" vertical="center" wrapText="1"/>
    </xf>
    <xf borderId="1" fillId="0" fontId="3" numFmtId="168" xfId="0" applyAlignment="1" applyBorder="1" applyFont="1" applyNumberFormat="1">
      <alignment horizontal="center" readingOrder="0" shrinkToFit="0" vertical="center" wrapText="1"/>
    </xf>
    <xf borderId="1" fillId="0" fontId="3" numFmtId="165" xfId="0" applyAlignment="1" applyBorder="1" applyFont="1" applyNumberFormat="1">
      <alignment horizontal="center" shrinkToFit="0" vertical="center" wrapText="1"/>
    </xf>
    <xf borderId="1" fillId="0" fontId="3" numFmtId="14" xfId="0" applyAlignment="1" applyBorder="1" applyFont="1" applyNumberFormat="1">
      <alignment horizontal="center" readingOrder="0" shrinkToFit="0" vertical="center" wrapText="1"/>
    </xf>
    <xf borderId="1" fillId="0" fontId="13" numFmtId="0" xfId="0" applyAlignment="1" applyBorder="1" applyFont="1">
      <alignment horizontal="center" shrinkToFit="0" vertical="center" wrapText="1"/>
    </xf>
    <xf borderId="1" fillId="0" fontId="14" numFmtId="0" xfId="0" applyAlignment="1" applyBorder="1" applyFont="1">
      <alignment horizontal="center" shrinkToFit="0" vertical="center" wrapText="1"/>
    </xf>
    <xf borderId="1" fillId="2" fontId="3" numFmtId="165" xfId="0" applyAlignment="1" applyBorder="1" applyFill="1" applyFont="1" applyNumberFormat="1">
      <alignment horizontal="center" readingOrder="0" shrinkToFit="0" vertical="center" wrapText="1"/>
    </xf>
    <xf borderId="1" fillId="2" fontId="15" numFmtId="0" xfId="0" applyAlignment="1" applyBorder="1" applyFont="1">
      <alignment horizontal="center" shrinkToFit="0" vertical="center" wrapText="1"/>
    </xf>
    <xf borderId="1" fillId="2" fontId="3"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1" fillId="2" fontId="6" numFmtId="0" xfId="0" applyAlignment="1" applyBorder="1" applyFont="1">
      <alignment horizontal="center" readingOrder="0" shrinkToFit="0" vertical="center" wrapText="1"/>
    </xf>
    <xf borderId="1" fillId="2" fontId="6" numFmtId="166" xfId="0" applyAlignment="1" applyBorder="1" applyFont="1" applyNumberFormat="1">
      <alignment horizontal="center" readingOrder="0" shrinkToFit="0" vertical="center" wrapText="1"/>
    </xf>
    <xf borderId="1" fillId="2" fontId="6" numFmtId="0" xfId="0" applyAlignment="1" applyBorder="1" applyFont="1">
      <alignment horizontal="left" readingOrder="0" shrinkToFit="0" vertical="center" wrapText="1"/>
    </xf>
    <xf borderId="0" fillId="0" fontId="2" numFmtId="0" xfId="0" applyAlignment="1" applyFont="1">
      <alignment readingOrder="0"/>
    </xf>
    <xf borderId="1" fillId="0" fontId="6" numFmtId="166" xfId="0" applyAlignment="1" applyBorder="1" applyFont="1" applyNumberFormat="1">
      <alignment horizontal="left" readingOrder="0" shrinkToFit="0" vertical="center" wrapText="1"/>
    </xf>
    <xf borderId="1" fillId="0" fontId="6" numFmtId="169" xfId="0" applyAlignment="1" applyBorder="1" applyFont="1" applyNumberFormat="1">
      <alignment horizontal="center" shrinkToFit="0" vertical="center" wrapText="1"/>
    </xf>
    <xf borderId="1" fillId="0" fontId="16" numFmtId="0" xfId="0" applyAlignment="1" applyBorder="1" applyFont="1">
      <alignment horizontal="center" shrinkToFit="0" vertical="center" wrapText="1"/>
    </xf>
    <xf borderId="1" fillId="2" fontId="3" numFmtId="14" xfId="0" applyAlignment="1" applyBorder="1" applyFont="1" applyNumberFormat="1">
      <alignment horizontal="center" readingOrder="0" shrinkToFit="0" vertical="center" wrapText="1"/>
    </xf>
    <xf borderId="1" fillId="2" fontId="17"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1" fillId="0" fontId="18" numFmtId="0" xfId="0" applyAlignment="1" applyBorder="1" applyFont="1">
      <alignment horizontal="center" readingOrder="0" shrinkToFit="0" vertical="center" wrapText="1"/>
    </xf>
    <xf borderId="1" fillId="0" fontId="15" numFmtId="0" xfId="0" applyAlignment="1" applyBorder="1" applyFont="1">
      <alignment horizontal="center" shrinkToFit="0" vertical="center" wrapText="1"/>
    </xf>
    <xf borderId="1" fillId="0" fontId="19" numFmtId="0" xfId="0" applyAlignment="1" applyBorder="1" applyFont="1">
      <alignment horizontal="center" shrinkToFit="0" vertical="center" wrapText="1"/>
    </xf>
    <xf borderId="1" fillId="0" fontId="6" numFmtId="0" xfId="0" applyAlignment="1" applyBorder="1" applyFont="1">
      <alignment horizontal="center" readingOrder="0" shrinkToFit="0" vertical="center" wrapText="1"/>
    </xf>
    <xf borderId="1" fillId="0" fontId="8" numFmtId="0" xfId="0" applyAlignment="1" applyBorder="1" applyFont="1">
      <alignment horizontal="center" readingOrder="0" shrinkToFit="0" vertical="center" wrapText="1"/>
    </xf>
    <xf borderId="1" fillId="2" fontId="6" numFmtId="166" xfId="0" applyAlignment="1" applyBorder="1" applyFont="1" applyNumberFormat="1">
      <alignment horizontal="center" shrinkToFit="0" vertical="center" wrapText="1"/>
    </xf>
    <xf borderId="1" fillId="0" fontId="2" numFmtId="0" xfId="0" applyAlignment="1" applyBorder="1" applyFont="1">
      <alignment readingOrder="0" shrinkToFit="0" wrapText="1"/>
    </xf>
    <xf borderId="1" fillId="0" fontId="6" numFmtId="166" xfId="0" applyAlignment="1" applyBorder="1" applyFont="1" applyNumberFormat="1">
      <alignment horizontal="left" shrinkToFit="0" vertical="center" wrapText="1"/>
    </xf>
    <xf borderId="1" fillId="0" fontId="2" numFmtId="0" xfId="0" applyAlignment="1" applyBorder="1" applyFont="1">
      <alignment horizontal="center" readingOrder="0" shrinkToFit="0" vertical="center" wrapText="1"/>
    </xf>
    <xf borderId="1" fillId="0" fontId="20" numFmtId="0" xfId="0" applyAlignment="1" applyBorder="1" applyFont="1">
      <alignment horizontal="center" readingOrder="0" shrinkToFit="0" vertical="center" wrapText="1"/>
    </xf>
    <xf borderId="1" fillId="0" fontId="3" numFmtId="170" xfId="0" applyAlignment="1" applyBorder="1" applyFont="1" applyNumberFormat="1">
      <alignment horizontal="center" readingOrder="0" shrinkToFit="0" vertical="center" wrapText="1"/>
    </xf>
    <xf borderId="1" fillId="0" fontId="3" numFmtId="0" xfId="0" applyAlignment="1" applyBorder="1" applyFont="1">
      <alignment readingOrder="0" shrinkToFit="0" wrapText="1"/>
    </xf>
    <xf borderId="1" fillId="0" fontId="21" numFmtId="0" xfId="0" applyAlignment="1" applyBorder="1" applyFont="1">
      <alignment shrinkToFit="0" wrapText="1"/>
    </xf>
    <xf borderId="1" fillId="0" fontId="2" numFmtId="0" xfId="0" applyAlignment="1" applyBorder="1" applyFont="1">
      <alignment horizontal="center" readingOrder="0"/>
    </xf>
    <xf borderId="0" fillId="3" fontId="2" numFmtId="0" xfId="0" applyAlignment="1" applyFill="1" applyFont="1">
      <alignment readingOrder="0"/>
    </xf>
    <xf borderId="0" fillId="3" fontId="22" numFmtId="0" xfId="0" applyFont="1"/>
    <xf borderId="1" fillId="0" fontId="23" numFmtId="0" xfId="0" applyAlignment="1" applyBorder="1" applyFont="1">
      <alignment horizontal="center" shrinkToFit="0" vertical="center" wrapText="1"/>
    </xf>
    <xf borderId="1" fillId="0" fontId="3" numFmtId="0" xfId="0" applyAlignment="1" applyBorder="1" applyFont="1">
      <alignment shrinkToFit="0" wrapText="1"/>
    </xf>
    <xf borderId="1" fillId="0" fontId="6" numFmtId="166" xfId="0" applyAlignment="1" applyBorder="1" applyFont="1" applyNumberFormat="1">
      <alignment horizontal="left" readingOrder="0" shrinkToFit="0" vertical="top" wrapText="1"/>
    </xf>
    <xf borderId="1" fillId="0" fontId="24" numFmtId="0" xfId="0" applyAlignment="1" applyBorder="1" applyFont="1">
      <alignment horizontal="center" shrinkToFit="0" vertical="center" wrapText="1"/>
    </xf>
    <xf borderId="1" fillId="0" fontId="6" numFmtId="0" xfId="0" applyAlignment="1" applyBorder="1" applyFont="1">
      <alignment horizontal="center" vertical="center"/>
    </xf>
    <xf borderId="1" fillId="0" fontId="25" numFmtId="0" xfId="0" applyAlignment="1" applyBorder="1" applyFont="1">
      <alignment horizontal="center" vertical="center"/>
    </xf>
    <xf borderId="1" fillId="0" fontId="2" numFmtId="166" xfId="0" applyAlignment="1" applyBorder="1" applyFont="1" applyNumberFormat="1">
      <alignment horizontal="center" readingOrder="0"/>
    </xf>
    <xf borderId="1" fillId="0" fontId="3" numFmtId="166" xfId="0" applyAlignment="1" applyBorder="1" applyFont="1" applyNumberFormat="1">
      <alignment horizontal="center" shrinkToFit="0" vertical="center" wrapText="1"/>
    </xf>
    <xf borderId="0" fillId="0" fontId="3" numFmtId="165" xfId="0" applyAlignment="1" applyFont="1" applyNumberFormat="1">
      <alignment horizontal="center" readingOrder="0" shrinkToFit="0" vertical="center" wrapText="1"/>
    </xf>
    <xf borderId="1" fillId="0" fontId="3" numFmtId="165" xfId="0" applyAlignment="1" applyBorder="1" applyFont="1" applyNumberFormat="1">
      <alignment horizontal="center" readingOrder="0" vertical="center"/>
    </xf>
    <xf borderId="0" fillId="0" fontId="6" numFmtId="0" xfId="0" applyAlignment="1" applyFont="1">
      <alignment horizontal="left" shrinkToFit="0" vertical="center" wrapText="1"/>
    </xf>
    <xf borderId="0" fillId="0" fontId="26" numFmtId="0" xfId="0" applyAlignment="1" applyFont="1">
      <alignment horizontal="center" readingOrder="0" shrinkToFit="0" vertical="center" wrapText="1"/>
    </xf>
    <xf borderId="1" fillId="0" fontId="6" numFmtId="166" xfId="0" applyAlignment="1" applyBorder="1" applyFont="1" applyNumberFormat="1">
      <alignment horizontal="center" readingOrder="0" shrinkToFit="0" vertical="center" wrapText="1"/>
    </xf>
    <xf borderId="0" fillId="0" fontId="27" numFmtId="0" xfId="0" applyAlignment="1" applyFont="1">
      <alignment horizontal="center" readingOrder="0" shrinkToFit="0" vertical="center" wrapText="1"/>
    </xf>
    <xf borderId="1" fillId="0" fontId="6" numFmtId="3" xfId="0" applyAlignment="1" applyBorder="1" applyFont="1" applyNumberFormat="1">
      <alignment horizontal="center" shrinkToFit="0" vertical="center" wrapText="1"/>
    </xf>
    <xf borderId="1" fillId="3" fontId="3" numFmtId="165" xfId="0" applyAlignment="1" applyBorder="1" applyFont="1" applyNumberFormat="1">
      <alignment horizontal="center" readingOrder="0" shrinkToFit="0" vertical="center" wrapText="1"/>
    </xf>
    <xf borderId="1" fillId="3" fontId="28" numFmtId="0" xfId="0" applyAlignment="1" applyBorder="1" applyFont="1">
      <alignment horizontal="center" shrinkToFit="0" vertical="center" wrapText="1"/>
    </xf>
    <xf borderId="1" fillId="3" fontId="5" numFmtId="0" xfId="0" applyAlignment="1" applyBorder="1" applyFont="1">
      <alignment horizontal="center" shrinkToFit="0" vertical="center" wrapText="1"/>
    </xf>
    <xf borderId="1" fillId="3" fontId="3" numFmtId="0" xfId="0" applyAlignment="1" applyBorder="1" applyFont="1">
      <alignment horizontal="center" shrinkToFit="0" vertical="center" wrapText="1"/>
    </xf>
    <xf borderId="1" fillId="3" fontId="3" numFmtId="14" xfId="0" applyAlignment="1" applyBorder="1" applyFont="1" applyNumberFormat="1">
      <alignment horizontal="center" shrinkToFit="0" vertical="center" wrapText="1"/>
    </xf>
    <xf borderId="1" fillId="3" fontId="6" numFmtId="0" xfId="0" applyAlignment="1" applyBorder="1" applyFont="1">
      <alignment horizontal="center" shrinkToFit="0" vertical="center" wrapText="1"/>
    </xf>
    <xf borderId="1" fillId="3" fontId="6" numFmtId="0" xfId="0" applyAlignment="1" applyBorder="1" applyFont="1">
      <alignment horizontal="left" readingOrder="0" shrinkToFit="0" vertical="center" wrapText="1"/>
    </xf>
    <xf borderId="1" fillId="0" fontId="6" numFmtId="0" xfId="0" applyAlignment="1" applyBorder="1" applyFont="1">
      <alignment horizontal="left" readingOrder="0" shrinkToFit="0" vertical="center" wrapText="1"/>
    </xf>
    <xf borderId="0" fillId="0" fontId="6" numFmtId="0" xfId="0" applyAlignment="1" applyFont="1">
      <alignment horizontal="center" shrinkToFit="0" vertical="center" wrapText="1"/>
    </xf>
    <xf borderId="0" fillId="0" fontId="6" numFmtId="0" xfId="0" applyAlignment="1" applyFont="1">
      <alignment horizontal="left" readingOrder="0" shrinkToFit="0" vertical="center" wrapText="1"/>
    </xf>
    <xf borderId="1" fillId="0" fontId="2" numFmtId="0" xfId="0" applyAlignment="1" applyBorder="1" applyFont="1">
      <alignment shrinkToFit="0" wrapText="1"/>
    </xf>
    <xf borderId="1" fillId="0" fontId="8" numFmtId="14" xfId="0" applyAlignment="1" applyBorder="1" applyFont="1" applyNumberFormat="1">
      <alignment horizontal="center" shrinkToFit="0" vertical="center" wrapText="1"/>
    </xf>
    <xf borderId="1" fillId="0" fontId="6" numFmtId="0" xfId="0" applyAlignment="1" applyBorder="1" applyFont="1">
      <alignment horizontal="left" shrinkToFit="0" wrapText="1"/>
    </xf>
    <xf borderId="1" fillId="0" fontId="6" numFmtId="0" xfId="0" applyAlignment="1" applyBorder="1" applyFont="1">
      <alignment horizontal="center" shrinkToFit="0" wrapText="1"/>
    </xf>
    <xf borderId="1" fillId="0" fontId="6" numFmtId="0" xfId="0" applyAlignment="1" applyBorder="1" applyFont="1">
      <alignment shrinkToFit="0" wrapText="1"/>
    </xf>
    <xf borderId="1" fillId="0" fontId="29" numFmtId="0" xfId="0" applyAlignment="1" applyBorder="1" applyFont="1">
      <alignment horizontal="center" shrinkToFit="0" vertical="center" wrapText="1"/>
    </xf>
    <xf borderId="0" fillId="0" fontId="6" numFmtId="166" xfId="0" applyAlignment="1" applyFont="1" applyNumberFormat="1">
      <alignment horizontal="center" shrinkToFit="0" vertical="center" wrapText="1"/>
    </xf>
    <xf borderId="1" fillId="0" fontId="30" numFmtId="0" xfId="0" applyAlignment="1" applyBorder="1" applyFont="1">
      <alignment horizontal="center"/>
    </xf>
    <xf borderId="1" fillId="0" fontId="31" numFmtId="166" xfId="0" applyAlignment="1" applyBorder="1" applyFont="1" applyNumberFormat="1">
      <alignment horizontal="center" readingOrder="0"/>
    </xf>
    <xf borderId="1" fillId="0" fontId="32" numFmtId="0" xfId="0" applyAlignment="1" applyBorder="1" applyFont="1">
      <alignment readingOrder="0" shrinkToFit="0" wrapText="1"/>
    </xf>
    <xf borderId="1" fillId="0" fontId="33" numFmtId="0" xfId="0" applyAlignment="1" applyBorder="1" applyFont="1">
      <alignment horizontal="center" shrinkToFit="0" vertical="center" wrapText="1"/>
    </xf>
    <xf borderId="0" fillId="0" fontId="2" numFmtId="0" xfId="0" applyAlignment="1" applyFont="1">
      <alignment readingOrder="0" shrinkToFit="0" wrapText="1"/>
    </xf>
    <xf borderId="1" fillId="0" fontId="6" numFmtId="166" xfId="0" applyAlignment="1" applyBorder="1" applyFont="1" applyNumberFormat="1">
      <alignment horizontal="center" readingOrder="0" shrinkToFit="0" vertical="center" wrapText="1"/>
    </xf>
    <xf borderId="0" fillId="0" fontId="6" numFmtId="3" xfId="0" applyAlignment="1" applyFont="1" applyNumberFormat="1">
      <alignment horizontal="center" shrinkToFit="0" vertical="center" wrapText="1"/>
    </xf>
    <xf borderId="0" fillId="0" fontId="6" numFmtId="0" xfId="0" applyAlignment="1" applyFont="1">
      <alignment horizontal="left" readingOrder="0" shrinkToFit="0" vertical="center" wrapText="1"/>
    </xf>
    <xf borderId="1" fillId="0" fontId="21" numFmtId="0" xfId="0" applyAlignment="1" applyBorder="1" applyFont="1">
      <alignment horizontal="center" readingOrder="0" vertical="center"/>
    </xf>
    <xf borderId="1" fillId="0" fontId="34" numFmtId="0" xfId="0" applyAlignment="1" applyBorder="1" applyFont="1">
      <alignment horizontal="center" readingOrder="0" vertical="center"/>
    </xf>
    <xf borderId="1" fillId="0" fontId="21" numFmtId="0" xfId="0" applyAlignment="1" applyBorder="1" applyFont="1">
      <alignment horizontal="center" vertical="center"/>
    </xf>
    <xf borderId="0" fillId="3" fontId="2" numFmtId="0" xfId="0" applyFont="1"/>
    <xf borderId="1" fillId="0" fontId="35" numFmtId="0" xfId="0" applyAlignment="1" applyBorder="1" applyFont="1">
      <alignment horizontal="center" shrinkToFit="0" vertical="center" wrapText="1"/>
    </xf>
    <xf borderId="1" fillId="0" fontId="36" numFmtId="0" xfId="0" applyAlignment="1" applyBorder="1" applyFont="1">
      <alignment horizontal="center" shrinkToFit="0" vertical="center" wrapText="1"/>
    </xf>
    <xf borderId="1" fillId="0" fontId="6" numFmtId="171" xfId="0" applyAlignment="1" applyBorder="1" applyFont="1" applyNumberFormat="1">
      <alignment horizontal="center" shrinkToFit="0" vertical="center" wrapText="1"/>
    </xf>
    <xf borderId="1" fillId="0" fontId="2" numFmtId="0" xfId="0" applyAlignment="1" applyBorder="1" applyFont="1">
      <alignment horizontal="left" readingOrder="0" shrinkToFit="0" vertical="center" wrapText="1"/>
    </xf>
    <xf borderId="1" fillId="0" fontId="2" numFmtId="166" xfId="0" applyAlignment="1" applyBorder="1" applyFont="1" applyNumberFormat="1">
      <alignment horizontal="center" readingOrder="0" shrinkToFit="0" wrapText="1"/>
    </xf>
    <xf borderId="1" fillId="0" fontId="37" numFmtId="0" xfId="0" applyAlignment="1" applyBorder="1" applyFont="1">
      <alignment horizontal="center" readingOrder="0" vertical="center"/>
    </xf>
    <xf borderId="1" fillId="0" fontId="30" numFmtId="168" xfId="0" applyAlignment="1" applyBorder="1" applyFont="1" applyNumberFormat="1">
      <alignment horizontal="center" readingOrder="0" vertical="center"/>
    </xf>
    <xf borderId="0" fillId="0" fontId="38" numFmtId="0" xfId="0" applyAlignment="1" applyFont="1">
      <alignment horizontal="center" shrinkToFit="0" vertical="center" wrapText="1"/>
    </xf>
    <xf borderId="1" fillId="0" fontId="3" numFmtId="49" xfId="0" applyAlignment="1" applyBorder="1" applyFont="1" applyNumberFormat="1">
      <alignment horizontal="left" readingOrder="0" shrinkToFit="0" vertical="center" wrapText="1"/>
    </xf>
    <xf borderId="1" fillId="0" fontId="39" numFmtId="0" xfId="0" applyAlignment="1" applyBorder="1" applyFont="1">
      <alignment horizontal="center" readingOrder="0" shrinkToFit="0" vertical="center" wrapText="1"/>
    </xf>
    <xf borderId="1" fillId="0" fontId="40" numFmtId="0" xfId="0" applyAlignment="1" applyBorder="1" applyFont="1">
      <alignment horizontal="center" vertical="center"/>
    </xf>
    <xf borderId="1" fillId="0" fontId="41" numFmtId="0" xfId="0" applyAlignment="1" applyBorder="1" applyFont="1">
      <alignment horizontal="center" vertical="center"/>
    </xf>
    <xf borderId="0" fillId="0" fontId="3" numFmtId="0" xfId="0" applyAlignment="1" applyFont="1">
      <alignment horizontal="center" readingOrder="0" shrinkToFit="0" vertical="center" wrapText="1"/>
    </xf>
    <xf borderId="0" fillId="0" fontId="6" numFmtId="0" xfId="0" applyAlignment="1" applyFont="1">
      <alignment readingOrder="0" shrinkToFit="0" wrapText="1"/>
    </xf>
    <xf borderId="1" fillId="0" fontId="3" numFmtId="0" xfId="0" applyAlignment="1" applyBorder="1" applyFont="1">
      <alignment horizontal="left" shrinkToFit="0" vertical="center" wrapText="1"/>
    </xf>
    <xf borderId="1" fillId="0" fontId="3" numFmtId="0" xfId="0" applyBorder="1" applyFont="1"/>
    <xf borderId="1" fillId="0" fontId="3" numFmtId="14" xfId="0" applyAlignment="1" applyBorder="1" applyFont="1" applyNumberFormat="1">
      <alignment horizontal="left" shrinkToFit="0" vertical="center" wrapText="1"/>
    </xf>
    <xf borderId="1" fillId="0" fontId="31" numFmtId="0" xfId="0" applyAlignment="1" applyBorder="1" applyFont="1">
      <alignment horizontal="center" readingOrder="0" shrinkToFit="0" wrapText="1"/>
    </xf>
    <xf borderId="1" fillId="0" fontId="31" numFmtId="0" xfId="0" applyAlignment="1" applyBorder="1" applyFont="1">
      <alignment readingOrder="0" shrinkToFit="0" wrapText="1"/>
    </xf>
    <xf borderId="1" fillId="0" fontId="42" numFmtId="0" xfId="0" applyAlignment="1" applyBorder="1" applyFont="1">
      <alignment horizontal="center" shrinkToFit="0" vertical="center" wrapText="1"/>
    </xf>
    <xf borderId="1" fillId="2" fontId="3" numFmtId="0" xfId="0" applyAlignment="1" applyBorder="1" applyFont="1">
      <alignment horizontal="center" readingOrder="0" shrinkToFit="0" vertical="center" wrapText="1"/>
    </xf>
    <xf borderId="1" fillId="2" fontId="3" numFmtId="168" xfId="0" applyAlignment="1" applyBorder="1" applyFont="1" applyNumberFormat="1">
      <alignment horizontal="center" readingOrder="0" shrinkToFit="0" vertical="center" wrapText="1"/>
    </xf>
    <xf borderId="1" fillId="0" fontId="6" numFmtId="0" xfId="0" applyAlignment="1" applyBorder="1" applyFont="1">
      <alignment horizontal="center" readingOrder="0" shrinkToFit="0" vertical="center" wrapText="1"/>
    </xf>
    <xf borderId="1" fillId="0" fontId="43" numFmtId="166" xfId="0" applyAlignment="1" applyBorder="1" applyFont="1" applyNumberFormat="1">
      <alignment horizontal="center" readingOrder="0" shrinkToFit="0" wrapText="1"/>
    </xf>
    <xf borderId="1" fillId="0" fontId="44" numFmtId="166" xfId="0" applyAlignment="1" applyBorder="1" applyFont="1" applyNumberFormat="1">
      <alignment horizontal="center" readingOrder="0" shrinkToFit="0" wrapText="1"/>
    </xf>
    <xf borderId="0" fillId="0" fontId="2" numFmtId="0" xfId="0" applyAlignment="1" applyFont="1">
      <alignment readingOrder="0"/>
    </xf>
    <xf borderId="0" fillId="0" fontId="31" numFmtId="0" xfId="0" applyAlignment="1" applyFont="1">
      <alignment readingOrder="0" shrinkToFit="0" wrapText="1"/>
    </xf>
    <xf borderId="0" fillId="0" fontId="2" numFmtId="166" xfId="0" applyAlignment="1" applyFont="1" applyNumberFormat="1">
      <alignment readingOrder="0" shrinkToFit="0" wrapText="1"/>
    </xf>
    <xf borderId="0" fillId="0" fontId="22" numFmtId="0" xfId="0" applyAlignment="1" applyFont="1">
      <alignment readingOrder="0"/>
    </xf>
    <xf borderId="0" fillId="0" fontId="45" numFmtId="0" xfId="0" applyAlignment="1" applyFont="1">
      <alignment readingOrder="0"/>
    </xf>
    <xf borderId="0" fillId="0" fontId="46" numFmtId="0" xfId="0" applyAlignment="1" applyFont="1">
      <alignment readingOrder="0"/>
    </xf>
    <xf borderId="0" fillId="0" fontId="22" numFmtId="0" xfId="0" applyAlignment="1" applyFont="1">
      <alignment horizontal="center" readingOrder="0" shrinkToFit="0" wrapText="1"/>
    </xf>
    <xf borderId="0" fillId="0" fontId="22" numFmtId="0" xfId="0" applyAlignment="1" applyFont="1">
      <alignment horizontal="center"/>
    </xf>
    <xf borderId="0" fillId="0" fontId="22" numFmtId="0" xfId="0" applyAlignment="1" applyFont="1">
      <alignment readingOrder="0" shrinkToFit="0" wrapText="1"/>
    </xf>
    <xf borderId="0" fillId="0" fontId="22" numFmtId="164" xfId="0" applyAlignment="1" applyFont="1" applyNumberFormat="1">
      <alignment readingOrder="0"/>
    </xf>
    <xf borderId="0" fillId="0" fontId="22" numFmtId="0" xfId="0" applyAlignment="1" applyFont="1">
      <alignment horizontal="center" readingOrder="0"/>
    </xf>
    <xf borderId="0" fillId="0" fontId="47" numFmtId="0" xfId="0" applyAlignment="1" applyFont="1">
      <alignment readingOrder="0" shrinkToFit="0" wrapText="1"/>
    </xf>
    <xf borderId="0" fillId="0" fontId="0" numFmtId="0" xfId="0" applyAlignment="1" applyFont="1">
      <alignment readingOrder="0"/>
    </xf>
    <xf borderId="0" fillId="4" fontId="48" numFmtId="0" xfId="0" applyAlignment="1" applyFill="1" applyFont="1">
      <alignment readingOrder="0"/>
    </xf>
    <xf borderId="0" fillId="0" fontId="22" numFmtId="166" xfId="0" applyAlignment="1" applyFont="1" applyNumberFormat="1">
      <alignment horizontal="center" readingOrder="0"/>
    </xf>
    <xf borderId="0" fillId="0" fontId="22" numFmtId="0" xfId="0" applyAlignment="1" applyFont="1">
      <alignment horizontal="center" shrinkToFit="0" wrapText="1"/>
    </xf>
    <xf borderId="0" fillId="0" fontId="2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ritaallen.org/" TargetMode="External"/><Relationship Id="rId194" Type="http://schemas.openxmlformats.org/officeDocument/2006/relationships/hyperlink" Target="https://www.culinaryhistoriansny.org/scholars-grant/" TargetMode="External"/><Relationship Id="rId193" Type="http://schemas.openxmlformats.org/officeDocument/2006/relationships/hyperlink" Target="http://www.vilcek.org/prizes/creative-promise/index.html" TargetMode="External"/><Relationship Id="rId192" Type="http://schemas.openxmlformats.org/officeDocument/2006/relationships/hyperlink" Target="https://vilcek.org/prizes/vilcek-prizes-for-creative-promise/creative-promise-prizes-biomedical-science/" TargetMode="External"/><Relationship Id="rId191" Type="http://schemas.openxmlformats.org/officeDocument/2006/relationships/hyperlink" Target="https://www.rwjf.org/en/library/funding-opportunities/2021/systems-for-action-systems-and-services-research-to-build-a-culture-of-health.html" TargetMode="External"/><Relationship Id="rId187" Type="http://schemas.openxmlformats.org/officeDocument/2006/relationships/hyperlink" Target="http://www.spencer.org/small-research-grants" TargetMode="External"/><Relationship Id="rId186" Type="http://schemas.openxmlformats.org/officeDocument/2006/relationships/hyperlink" Target="https://www.spencer.org/grant_types/small-research-grant" TargetMode="External"/><Relationship Id="rId185" Type="http://schemas.openxmlformats.org/officeDocument/2006/relationships/hyperlink" Target="http://spencer.org/" TargetMode="External"/><Relationship Id="rId184" Type="http://schemas.openxmlformats.org/officeDocument/2006/relationships/hyperlink" Target="https://www.spencer.org/grant_types/large-research-grant" TargetMode="External"/><Relationship Id="rId189" Type="http://schemas.openxmlformats.org/officeDocument/2006/relationships/hyperlink" Target="https://www.paris-iea.fr/en/apply/calls-for-applications/chaire-de-recherche-jean-d-alembert-patrimoine-cultures-et-savoirs" TargetMode="External"/><Relationship Id="rId188" Type="http://schemas.openxmlformats.org/officeDocument/2006/relationships/hyperlink" Target="https://www.gerda-henkel-stiftung.de/en/general-research-grants-projects?page_id=32" TargetMode="External"/><Relationship Id="rId183" Type="http://schemas.openxmlformats.org/officeDocument/2006/relationships/hyperlink" Target="http://spencer.org/" TargetMode="External"/><Relationship Id="rId182" Type="http://schemas.openxmlformats.org/officeDocument/2006/relationships/hyperlink" Target="https://www.wabashcenter.wabash.edu/wabash-grants/project-grants/" TargetMode="External"/><Relationship Id="rId181" Type="http://schemas.openxmlformats.org/officeDocument/2006/relationships/hyperlink" Target="https://cla.umn.edu/ihrc/michael-g-karni-scholarship" TargetMode="External"/><Relationship Id="rId180" Type="http://schemas.openxmlformats.org/officeDocument/2006/relationships/hyperlink" Target="http://clah.h-net.org/?page_id=147" TargetMode="External"/><Relationship Id="rId176" Type="http://schemas.openxmlformats.org/officeDocument/2006/relationships/hyperlink" Target="https://wcfia.harvard.edu/funding/faculty/huntington_prize" TargetMode="External"/><Relationship Id="rId297" Type="http://schemas.openxmlformats.org/officeDocument/2006/relationships/hyperlink" Target="https://www.psychiatry.org/psychiatrists/awards-leadership-opportunities/awards/kempf-fund-award" TargetMode="External"/><Relationship Id="rId175" Type="http://schemas.openxmlformats.org/officeDocument/2006/relationships/hyperlink" Target="http://www.harvard.edu/" TargetMode="External"/><Relationship Id="rId296" Type="http://schemas.openxmlformats.org/officeDocument/2006/relationships/hyperlink" Target="http://www.searlescholars.net/" TargetMode="External"/><Relationship Id="rId174" Type="http://schemas.openxmlformats.org/officeDocument/2006/relationships/hyperlink" Target="https://grants.nih.gov/grants/guide/pa-files/PAR-22-000.html" TargetMode="External"/><Relationship Id="rId295" Type="http://schemas.openxmlformats.org/officeDocument/2006/relationships/hyperlink" Target="https://www.searlescholars.net/" TargetMode="External"/><Relationship Id="rId173" Type="http://schemas.openxmlformats.org/officeDocument/2006/relationships/hyperlink" Target="http://nih.gov/" TargetMode="External"/><Relationship Id="rId294" Type="http://schemas.openxmlformats.org/officeDocument/2006/relationships/hyperlink" Target="https://www.neh.gov/grants/preservation/infrastructure-and-capacity-building-challenge-grants" TargetMode="External"/><Relationship Id="rId179" Type="http://schemas.openxmlformats.org/officeDocument/2006/relationships/hyperlink" Target="https://libguides.niu.edu/c.php?g=1301508&amp;p=9563536" TargetMode="External"/><Relationship Id="rId178" Type="http://schemas.openxmlformats.org/officeDocument/2006/relationships/hyperlink" Target="http://www.gladysbrooksfoundation.org/application.html" TargetMode="External"/><Relationship Id="rId299" Type="http://schemas.openxmlformats.org/officeDocument/2006/relationships/hyperlink" Target="http://nsf.gov/" TargetMode="External"/><Relationship Id="rId177" Type="http://schemas.openxmlformats.org/officeDocument/2006/relationships/hyperlink" Target="http://www.gladysbrooksfoundation.org/" TargetMode="External"/><Relationship Id="rId298" Type="http://schemas.openxmlformats.org/officeDocument/2006/relationships/hyperlink" Target="http://nsf.gov/" TargetMode="External"/><Relationship Id="rId198" Type="http://schemas.openxmlformats.org/officeDocument/2006/relationships/hyperlink" Target="https://nij.ojp.gov/funding/opportunities/o-nij-2023-171606" TargetMode="External"/><Relationship Id="rId197" Type="http://schemas.openxmlformats.org/officeDocument/2006/relationships/hyperlink" Target="https://www.acs.org/funding/awards/women-chemists-rising-star-award.html" TargetMode="External"/><Relationship Id="rId196" Type="http://schemas.openxmlformats.org/officeDocument/2006/relationships/hyperlink" Target="https://www.neh.gov/grants/preservation/humanities-collections-and-reference-resources" TargetMode="External"/><Relationship Id="rId195" Type="http://schemas.openxmlformats.org/officeDocument/2006/relationships/hyperlink" Target="https://www.neh.gov/about" TargetMode="External"/><Relationship Id="rId199" Type="http://schemas.openxmlformats.org/officeDocument/2006/relationships/hyperlink" Target="https://nij.ojp.gov/funding/opportunities/o-nij-2021-99003" TargetMode="External"/><Relationship Id="rId150" Type="http://schemas.openxmlformats.org/officeDocument/2006/relationships/hyperlink" Target="http://www.neh.gov/grants/research/fellowships-advanced-social-science-research-japan" TargetMode="External"/><Relationship Id="rId271" Type="http://schemas.openxmlformats.org/officeDocument/2006/relationships/hyperlink" Target="https://www.chstm.org/" TargetMode="External"/><Relationship Id="rId392" Type="http://schemas.openxmlformats.org/officeDocument/2006/relationships/hyperlink" Target="https://www.gerda-henkel-stiftung.de/" TargetMode="External"/><Relationship Id="rId270" Type="http://schemas.openxmlformats.org/officeDocument/2006/relationships/hyperlink" Target="http://www.apa.org/apf/funding/rweiss.aspx" TargetMode="External"/><Relationship Id="rId391" Type="http://schemas.openxmlformats.org/officeDocument/2006/relationships/hyperlink" Target="https://www.nsf.gov/funding/pgm_summ.jsp?pims_id=505058" TargetMode="External"/><Relationship Id="rId390" Type="http://schemas.openxmlformats.org/officeDocument/2006/relationships/hyperlink" Target="http://isaw.nyu.edu/visiting-scholars" TargetMode="External"/><Relationship Id="rId1" Type="http://schemas.openxmlformats.org/officeDocument/2006/relationships/hyperlink" Target="https://mapfund.org/" TargetMode="External"/><Relationship Id="rId2" Type="http://schemas.openxmlformats.org/officeDocument/2006/relationships/hyperlink" Target="https://mapfund.org/2022-cycle/" TargetMode="External"/><Relationship Id="rId3" Type="http://schemas.openxmlformats.org/officeDocument/2006/relationships/hyperlink" Target="https://howardgilmanfoundation.org/" TargetMode="External"/><Relationship Id="rId149" Type="http://schemas.openxmlformats.org/officeDocument/2006/relationships/hyperlink" Target="http://www.neh.gov/grants/research/neh-mellon-fellowships-digital-publication" TargetMode="External"/><Relationship Id="rId4" Type="http://schemas.openxmlformats.org/officeDocument/2006/relationships/hyperlink" Target="https://howardgilmanfoundation.org/how-to-apply/" TargetMode="External"/><Relationship Id="rId148" Type="http://schemas.openxmlformats.org/officeDocument/2006/relationships/hyperlink" Target="https://www.iie.org/en/Programs/Russell-Berrie-Fellowship-in-Interreligious-Studies/News" TargetMode="External"/><Relationship Id="rId269" Type="http://schemas.openxmlformats.org/officeDocument/2006/relationships/hyperlink" Target="http://www.apa.org/apf/" TargetMode="External"/><Relationship Id="rId9" Type="http://schemas.openxmlformats.org/officeDocument/2006/relationships/hyperlink" Target="https://arts.princeton.edu/" TargetMode="External"/><Relationship Id="rId143" Type="http://schemas.openxmlformats.org/officeDocument/2006/relationships/hyperlink" Target="http://grants.nih.gov/grants/funding/r13/" TargetMode="External"/><Relationship Id="rId264" Type="http://schemas.openxmlformats.org/officeDocument/2006/relationships/hyperlink" Target="http://www.gei.de/en/fellowships.html" TargetMode="External"/><Relationship Id="rId385" Type="http://schemas.openxmlformats.org/officeDocument/2006/relationships/hyperlink" Target="https://www.aeaweb.org/about-aea/committees/summer-fellows-program" TargetMode="External"/><Relationship Id="rId142" Type="http://schemas.openxmlformats.org/officeDocument/2006/relationships/hyperlink" Target="https://www.ias.edu/pcmi" TargetMode="External"/><Relationship Id="rId263" Type="http://schemas.openxmlformats.org/officeDocument/2006/relationships/hyperlink" Target="http://www.cies.org/program/core-fulbright-us-scholar-program" TargetMode="External"/><Relationship Id="rId384" Type="http://schemas.openxmlformats.org/officeDocument/2006/relationships/hyperlink" Target="https://www.aeaweb.org/about-aea/committees/summer-fellows-program" TargetMode="External"/><Relationship Id="rId141" Type="http://schemas.openxmlformats.org/officeDocument/2006/relationships/hyperlink" Target="https://www.historians.org/awards-and-grants/grants-and-fellowships/j-franklin-jameson-fellowship" TargetMode="External"/><Relationship Id="rId262" Type="http://schemas.openxmlformats.org/officeDocument/2006/relationships/hyperlink" Target="https://cies.org/" TargetMode="External"/><Relationship Id="rId383" Type="http://schemas.openxmlformats.org/officeDocument/2006/relationships/hyperlink" Target="https://creative-capital.org/about-the-creative-capital-award/" TargetMode="External"/><Relationship Id="rId140" Type="http://schemas.openxmlformats.org/officeDocument/2006/relationships/hyperlink" Target="http://www.apa.org/apf/funding/visionary.aspx" TargetMode="External"/><Relationship Id="rId261" Type="http://schemas.openxmlformats.org/officeDocument/2006/relationships/hyperlink" Target="https://www.rsa.org/page/Fellowships" TargetMode="External"/><Relationship Id="rId382" Type="http://schemas.openxmlformats.org/officeDocument/2006/relationships/hyperlink" Target="https://creative-capital.org/about-the-creative-capital-award/" TargetMode="External"/><Relationship Id="rId5" Type="http://schemas.openxmlformats.org/officeDocument/2006/relationships/hyperlink" Target="http://ccs.ncl.edu.tw/ccs2/english/regulation.aspx" TargetMode="External"/><Relationship Id="rId147" Type="http://schemas.openxmlformats.org/officeDocument/2006/relationships/hyperlink" Target="http://www.pmi.org/learning/academic-research/sponsored-research-program.aspx" TargetMode="External"/><Relationship Id="rId268" Type="http://schemas.openxmlformats.org/officeDocument/2006/relationships/hyperlink" Target="https://beta.nsf.gov/funding/opportunities/computational-data-enabled-science-engineering-2" TargetMode="External"/><Relationship Id="rId389" Type="http://schemas.openxmlformats.org/officeDocument/2006/relationships/hyperlink" Target="https://www.sns.ias.edu/apply" TargetMode="External"/><Relationship Id="rId6" Type="http://schemas.openxmlformats.org/officeDocument/2006/relationships/hyperlink" Target="http://ccs.ncl.edu.tw/ccs2/english/regulation.aspx" TargetMode="External"/><Relationship Id="rId146" Type="http://schemas.openxmlformats.org/officeDocument/2006/relationships/hyperlink" Target="https://www.fs.usda.gov/managing-land/urban-forests/ucf" TargetMode="External"/><Relationship Id="rId267" Type="http://schemas.openxmlformats.org/officeDocument/2006/relationships/hyperlink" Target="https://www.nsf.gov/funding/pgm_summ.jsp?pims_id=503418" TargetMode="External"/><Relationship Id="rId388" Type="http://schemas.openxmlformats.org/officeDocument/2006/relationships/hyperlink" Target="https://asecsoffice.wixsite.com/asecsawards/louisgottschalkprize" TargetMode="External"/><Relationship Id="rId7" Type="http://schemas.openxmlformats.org/officeDocument/2006/relationships/hyperlink" Target="https://www.shubertfoundation.org/" TargetMode="External"/><Relationship Id="rId145" Type="http://schemas.openxmlformats.org/officeDocument/2006/relationships/hyperlink" Target="http://www.apsanet.org/smallresearchgrant" TargetMode="External"/><Relationship Id="rId266" Type="http://schemas.openxmlformats.org/officeDocument/2006/relationships/hyperlink" Target="https://www.nsf.gov/funding/pgm_summ.jsp?pims_id=505705" TargetMode="External"/><Relationship Id="rId387" Type="http://schemas.openxmlformats.org/officeDocument/2006/relationships/hyperlink" Target="https://www.aiany.org/architecture/competitions-grants/arnold-w-brunner-grant/" TargetMode="External"/><Relationship Id="rId8" Type="http://schemas.openxmlformats.org/officeDocument/2006/relationships/hyperlink" Target="https://www.shubertfoundation.org/theatre" TargetMode="External"/><Relationship Id="rId144" Type="http://schemas.openxmlformats.org/officeDocument/2006/relationships/hyperlink" Target="http://www.neh.gov/grants/research/fellowships" TargetMode="External"/><Relationship Id="rId265" Type="http://schemas.openxmlformats.org/officeDocument/2006/relationships/hyperlink" Target="http://fdnweb.org/eppley/" TargetMode="External"/><Relationship Id="rId386" Type="http://schemas.openxmlformats.org/officeDocument/2006/relationships/hyperlink" Target="https://www.aiany.org/" TargetMode="External"/><Relationship Id="rId260" Type="http://schemas.openxmlformats.org/officeDocument/2006/relationships/hyperlink" Target="https://sloan.org/fellowships" TargetMode="External"/><Relationship Id="rId381" Type="http://schemas.openxmlformats.org/officeDocument/2006/relationships/hyperlink" Target="https://www.amsmusicology.org/page/pubs_subvention" TargetMode="External"/><Relationship Id="rId380" Type="http://schemas.openxmlformats.org/officeDocument/2006/relationships/hyperlink" Target="https://www.amsmusicology.org/" TargetMode="External"/><Relationship Id="rId139" Type="http://schemas.openxmlformats.org/officeDocument/2006/relationships/hyperlink" Target="https://www.fahsbeckfund.org/grant-programs/" TargetMode="External"/><Relationship Id="rId138" Type="http://schemas.openxmlformats.org/officeDocument/2006/relationships/hyperlink" Target="https://breakthroughprize.org/News/64" TargetMode="External"/><Relationship Id="rId259" Type="http://schemas.openxmlformats.org/officeDocument/2006/relationships/hyperlink" Target="http://www.grahamfoundation.org/grant_programs?mode=individual" TargetMode="External"/><Relationship Id="rId137" Type="http://schemas.openxmlformats.org/officeDocument/2006/relationships/hyperlink" Target="https://www.ies.sas.ac.uk/fellowships" TargetMode="External"/><Relationship Id="rId258" Type="http://schemas.openxmlformats.org/officeDocument/2006/relationships/hyperlink" Target="https://www.neh.gov/grants/education/humanities-connections" TargetMode="External"/><Relationship Id="rId379" Type="http://schemas.openxmlformats.org/officeDocument/2006/relationships/hyperlink" Target="https://www.awpwriter.org/contests/awp_award_series_overview" TargetMode="External"/><Relationship Id="rId132" Type="http://schemas.openxmlformats.org/officeDocument/2006/relationships/hyperlink" Target="https://www.arts.gov/grants/research-awards/research-grants-in-the-arts/program-description" TargetMode="External"/><Relationship Id="rId253" Type="http://schemas.openxmlformats.org/officeDocument/2006/relationships/hyperlink" Target="http://neh.gov/" TargetMode="External"/><Relationship Id="rId374" Type="http://schemas.openxmlformats.org/officeDocument/2006/relationships/hyperlink" Target="https://www.archaeological.org/grant/pomerance-fellowship/" TargetMode="External"/><Relationship Id="rId495" Type="http://schemas.openxmlformats.org/officeDocument/2006/relationships/hyperlink" Target="https://www.usip.org/grants-fellowships/fellowships" TargetMode="External"/><Relationship Id="rId131" Type="http://schemas.openxmlformats.org/officeDocument/2006/relationships/hyperlink" Target="http://arts.gov/" TargetMode="External"/><Relationship Id="rId252" Type="http://schemas.openxmlformats.org/officeDocument/2006/relationships/hyperlink" Target="https://www.radcliffe.harvard.edu/fellowship-program" TargetMode="External"/><Relationship Id="rId373" Type="http://schemas.openxmlformats.org/officeDocument/2006/relationships/hyperlink" Target="https://www.nctm.org/uploadedFiles/Grants_and_Awards/grants/Pre-K-6-Classroom-Research-Grants-Application-Information.pdf" TargetMode="External"/><Relationship Id="rId494" Type="http://schemas.openxmlformats.org/officeDocument/2006/relationships/hyperlink" Target="https://philosophy.sas.ac.uk/fellowships" TargetMode="External"/><Relationship Id="rId130" Type="http://schemas.openxmlformats.org/officeDocument/2006/relationships/hyperlink" Target="https://cavecanempoets.org/residencies-for-fellows/community-of-writers/" TargetMode="External"/><Relationship Id="rId251" Type="http://schemas.openxmlformats.org/officeDocument/2006/relationships/hyperlink" Target="http://www.nsf.gov/funding/pgm_summ.jsp?pims_id=504696&amp;WT.mc_id=USNSF_39&amp;WT.mc_ev=click" TargetMode="External"/><Relationship Id="rId372" Type="http://schemas.openxmlformats.org/officeDocument/2006/relationships/hyperlink" Target="http://www.wmkeck.org/grant-programs/research" TargetMode="External"/><Relationship Id="rId493" Type="http://schemas.openxmlformats.org/officeDocument/2006/relationships/hyperlink" Target="http://www.foundationforcontemporaryarts.org/grants/emergency-grants" TargetMode="External"/><Relationship Id="rId250" Type="http://schemas.openxmlformats.org/officeDocument/2006/relationships/hyperlink" Target="https://resist.org/grants/" TargetMode="External"/><Relationship Id="rId371" Type="http://schemas.openxmlformats.org/officeDocument/2006/relationships/hyperlink" Target="https://rockarch.org/collections/research-stipends/" TargetMode="External"/><Relationship Id="rId492" Type="http://schemas.openxmlformats.org/officeDocument/2006/relationships/hyperlink" Target="http://nsf.gov/" TargetMode="External"/><Relationship Id="rId136" Type="http://schemas.openxmlformats.org/officeDocument/2006/relationships/hyperlink" Target="http://www.midatlanticarts.org/usartists-international/" TargetMode="External"/><Relationship Id="rId257" Type="http://schemas.openxmlformats.org/officeDocument/2006/relationships/hyperlink" Target="http://neh.gov/" TargetMode="External"/><Relationship Id="rId378" Type="http://schemas.openxmlformats.org/officeDocument/2006/relationships/hyperlink" Target="https://www.awpwriter.org/" TargetMode="External"/><Relationship Id="rId499" Type="http://schemas.openxmlformats.org/officeDocument/2006/relationships/hyperlink" Target="http://littauerfoundation.org/grants/" TargetMode="External"/><Relationship Id="rId135" Type="http://schemas.openxmlformats.org/officeDocument/2006/relationships/hyperlink" Target="https://www.accessgroup.org/research/legal-education-diversity-pipeline-grant-program" TargetMode="External"/><Relationship Id="rId256" Type="http://schemas.openxmlformats.org/officeDocument/2006/relationships/hyperlink" Target="https://www.neh.gov/grants/education/humanities-connections-implementation-grants" TargetMode="External"/><Relationship Id="rId377" Type="http://schemas.openxmlformats.org/officeDocument/2006/relationships/hyperlink" Target="https://www.nsf.gov/funding/pgm_summ.jsp?pims_id=13681" TargetMode="External"/><Relationship Id="rId498" Type="http://schemas.openxmlformats.org/officeDocument/2006/relationships/hyperlink" Target="http://littauerfoundation.org/" TargetMode="External"/><Relationship Id="rId134" Type="http://schemas.openxmlformats.org/officeDocument/2006/relationships/hyperlink" Target="http://www.archives.nysed.gov/grants/documentary-heritage-program-grants" TargetMode="External"/><Relationship Id="rId255" Type="http://schemas.openxmlformats.org/officeDocument/2006/relationships/hyperlink" Target="http://neh.gov/" TargetMode="External"/><Relationship Id="rId376" Type="http://schemas.openxmlformats.org/officeDocument/2006/relationships/hyperlink" Target="http://www.huntington.org/fellowships/" TargetMode="External"/><Relationship Id="rId497" Type="http://schemas.openxmlformats.org/officeDocument/2006/relationships/hyperlink" Target="https://www.typeinvestigations.org/" TargetMode="External"/><Relationship Id="rId133" Type="http://schemas.openxmlformats.org/officeDocument/2006/relationships/hyperlink" Target="http://www.archives.nysed.gov/" TargetMode="External"/><Relationship Id="rId254" Type="http://schemas.openxmlformats.org/officeDocument/2006/relationships/hyperlink" Target="https://www.neh.gov/grants/education/humanities-connections-planning-grants" TargetMode="External"/><Relationship Id="rId375" Type="http://schemas.openxmlformats.org/officeDocument/2006/relationships/hyperlink" Target="https://casbs.stanford.edu/apply-casbs-fellowship" TargetMode="External"/><Relationship Id="rId496" Type="http://schemas.openxmlformats.org/officeDocument/2006/relationships/hyperlink" Target="http://pkf.org/our-grants/" TargetMode="External"/><Relationship Id="rId172" Type="http://schemas.openxmlformats.org/officeDocument/2006/relationships/hyperlink" Target="https://grants.nih.gov/grants/guide/pa-files/PAR-20-289.html" TargetMode="External"/><Relationship Id="rId293" Type="http://schemas.openxmlformats.org/officeDocument/2006/relationships/hyperlink" Target="https://www.neh.gov/" TargetMode="External"/><Relationship Id="rId171" Type="http://schemas.openxmlformats.org/officeDocument/2006/relationships/hyperlink" Target="http://grants1.nih.gov/grants/funding/submissionschedule.htm" TargetMode="External"/><Relationship Id="rId292" Type="http://schemas.openxmlformats.org/officeDocument/2006/relationships/hyperlink" Target="https://www.simonsfoundation.org/grant/simons-fellows-in-theoretical-physics/?tab=rfa" TargetMode="External"/><Relationship Id="rId170" Type="http://schemas.openxmlformats.org/officeDocument/2006/relationships/hyperlink" Target="https://www.americanantiquarian.org/artistfellowships" TargetMode="External"/><Relationship Id="rId291" Type="http://schemas.openxmlformats.org/officeDocument/2006/relationships/hyperlink" Target="https://www.simonsfoundation.org/grant/simons-fellows-in-mathematics/?tab=how-to-apply" TargetMode="External"/><Relationship Id="rId290" Type="http://schemas.openxmlformats.org/officeDocument/2006/relationships/hyperlink" Target="https://ndias.nd.edu/fellowships/faculty/" TargetMode="External"/><Relationship Id="rId165" Type="http://schemas.openxmlformats.org/officeDocument/2006/relationships/hyperlink" Target="https://www.historians.org/awards-and-grants/awards-and-prizes/joan-kelly-memorial-prize" TargetMode="External"/><Relationship Id="rId286" Type="http://schemas.openxmlformats.org/officeDocument/2006/relationships/hyperlink" Target="https://www.neh.gov/sites/default/files/inline-files/Summer%20Stipends%20NOFO%202020%20and%202021%2020200923-FT.pdf" TargetMode="External"/><Relationship Id="rId164" Type="http://schemas.openxmlformats.org/officeDocument/2006/relationships/hyperlink" Target="https://www.sfn.org/initiatives/awards/mika-salpeter-award" TargetMode="External"/><Relationship Id="rId285" Type="http://schemas.openxmlformats.org/officeDocument/2006/relationships/hyperlink" Target="https://www.neh.gov/about" TargetMode="External"/><Relationship Id="rId163" Type="http://schemas.openxmlformats.org/officeDocument/2006/relationships/hyperlink" Target="https://modernlanguages.sas.ac.uk/research-fellowships/visiting-fellowships-and-scholarships" TargetMode="External"/><Relationship Id="rId284" Type="http://schemas.openxmlformats.org/officeDocument/2006/relationships/hyperlink" Target="https://www.nsf.gov/funding/pgm_summ.jsp?pims_id=504687" TargetMode="External"/><Relationship Id="rId162" Type="http://schemas.openxmlformats.org/officeDocument/2006/relationships/hyperlink" Target="http://www.amielandmelburn.org.uk/apply-for-an-award/" TargetMode="External"/><Relationship Id="rId283" Type="http://schemas.openxmlformats.org/officeDocument/2006/relationships/hyperlink" Target="https://www.nsf.gov/funding/pgm_summ.jsp?pims_id=503418" TargetMode="External"/><Relationship Id="rId169" Type="http://schemas.openxmlformats.org/officeDocument/2006/relationships/hyperlink" Target="https://www.americanantiquarian.org/" TargetMode="External"/><Relationship Id="rId168" Type="http://schemas.openxmlformats.org/officeDocument/2006/relationships/hyperlink" Target="https://einsteinforum.de/" TargetMode="External"/><Relationship Id="rId289" Type="http://schemas.openxmlformats.org/officeDocument/2006/relationships/hyperlink" Target="https://ndias.nd.edu/" TargetMode="External"/><Relationship Id="rId167" Type="http://schemas.openxmlformats.org/officeDocument/2006/relationships/hyperlink" Target="https://theccwh.org/ccwh-awards/catherine-prelinger-award/" TargetMode="External"/><Relationship Id="rId288" Type="http://schemas.openxmlformats.org/officeDocument/2006/relationships/hyperlink" Target="http://www.americanacademy.de/apply/apply-for-a-fellowship/" TargetMode="External"/><Relationship Id="rId166" Type="http://schemas.openxmlformats.org/officeDocument/2006/relationships/hyperlink" Target="https://theccwh.org/ccwh-awards/chaudhuri-first-article-prize/" TargetMode="External"/><Relationship Id="rId287" Type="http://schemas.openxmlformats.org/officeDocument/2006/relationships/hyperlink" Target="https://ndias.nd.edu/fellowships/" TargetMode="External"/><Relationship Id="rId161" Type="http://schemas.openxmlformats.org/officeDocument/2006/relationships/hyperlink" Target="https://www.acls.org/Competitions-and-Deadlines/Leading-Edge-Fellowships" TargetMode="External"/><Relationship Id="rId282" Type="http://schemas.openxmlformats.org/officeDocument/2006/relationships/hyperlink" Target="https://www.fritz-thyssen-stiftung.de/en/funding/types-of-support/conferences/" TargetMode="External"/><Relationship Id="rId160" Type="http://schemas.openxmlformats.org/officeDocument/2006/relationships/hyperlink" Target="https://www.russellsage.org/research/behavioral-science-and-decision-making-context" TargetMode="External"/><Relationship Id="rId281" Type="http://schemas.openxmlformats.org/officeDocument/2006/relationships/hyperlink" Target="https://www.fritz-thyssen-stiftung.de/en/about-us/general-information/purpose-and-statutes/" TargetMode="External"/><Relationship Id="rId280" Type="http://schemas.openxmlformats.org/officeDocument/2006/relationships/hyperlink" Target="https://www.fritz-thyssen-stiftung.de/cms/wp-content/uploads/2019/04/FTS_de_Projektfoerderung_G-1.pdf" TargetMode="External"/><Relationship Id="rId159" Type="http://schemas.openxmlformats.org/officeDocument/2006/relationships/hyperlink" Target="https://www.arce.org/fellowships" TargetMode="External"/><Relationship Id="rId154" Type="http://schemas.openxmlformats.org/officeDocument/2006/relationships/hyperlink" Target="https://www.clir.org/about/" TargetMode="External"/><Relationship Id="rId275" Type="http://schemas.openxmlformats.org/officeDocument/2006/relationships/hyperlink" Target="https://cies.org/" TargetMode="External"/><Relationship Id="rId396" Type="http://schemas.openxmlformats.org/officeDocument/2006/relationships/hyperlink" Target="https://thc.utah.edu/research/fellowships/applications.php" TargetMode="External"/><Relationship Id="rId153" Type="http://schemas.openxmlformats.org/officeDocument/2006/relationships/hyperlink" Target="http://www.asor.org/" TargetMode="External"/><Relationship Id="rId274" Type="http://schemas.openxmlformats.org/officeDocument/2006/relationships/hyperlink" Target="https://awards.cies.org/content/french-studies-arts-humanities-and-social-sciences-3" TargetMode="External"/><Relationship Id="rId395" Type="http://schemas.openxmlformats.org/officeDocument/2006/relationships/hyperlink" Target="https://thc.utah.edu/" TargetMode="External"/><Relationship Id="rId152" Type="http://schemas.openxmlformats.org/officeDocument/2006/relationships/hyperlink" Target="https://www.feminist-review-trust.com/guidelines/" TargetMode="External"/><Relationship Id="rId273" Type="http://schemas.openxmlformats.org/officeDocument/2006/relationships/hyperlink" Target="https://cies.org/" TargetMode="External"/><Relationship Id="rId394" Type="http://schemas.openxmlformats.org/officeDocument/2006/relationships/hyperlink" Target="https://www.amphilsoc.org/grants/franklin-research-grants" TargetMode="External"/><Relationship Id="rId151" Type="http://schemas.openxmlformats.org/officeDocument/2006/relationships/hyperlink" Target="https://smlr.rutgers.edu/content/louis-o-kelso-fellowship" TargetMode="External"/><Relationship Id="rId272" Type="http://schemas.openxmlformats.org/officeDocument/2006/relationships/hyperlink" Target="https://www.chstm.org/fellowships/chstm-fellowships" TargetMode="External"/><Relationship Id="rId393" Type="http://schemas.openxmlformats.org/officeDocument/2006/relationships/hyperlink" Target="https://www.gerda-henkel-stiftung.de/forschungsstipendien" TargetMode="External"/><Relationship Id="rId158" Type="http://schemas.openxmlformats.org/officeDocument/2006/relationships/hyperlink" Target="https://www.russellsage.org/research/race-ethnicity-immigration" TargetMode="External"/><Relationship Id="rId279" Type="http://schemas.openxmlformats.org/officeDocument/2006/relationships/hyperlink" Target="https://www.fritz-thyssen-stiftung.de/foerderung/foerderbereiche/geschichte-sprache-kultur/" TargetMode="External"/><Relationship Id="rId157" Type="http://schemas.openxmlformats.org/officeDocument/2006/relationships/hyperlink" Target="https://wennergren.org/program/hunt-postdoctoral-fellowship/" TargetMode="External"/><Relationship Id="rId278" Type="http://schemas.openxmlformats.org/officeDocument/2006/relationships/hyperlink" Target="https://awards.cies.org/content/fulbright-distinguished-scholar-award-public-policy" TargetMode="External"/><Relationship Id="rId399" Type="http://schemas.openxmlformats.org/officeDocument/2006/relationships/hyperlink" Target="https://sites.nationalacademies.org/PGA/FordFellowships/index.htm" TargetMode="External"/><Relationship Id="rId156" Type="http://schemas.openxmlformats.org/officeDocument/2006/relationships/hyperlink" Target="https://wennergren.org/program/fejos-postdoctoral-fellowship-in-ethnographic-film/" TargetMode="External"/><Relationship Id="rId277" Type="http://schemas.openxmlformats.org/officeDocument/2006/relationships/hyperlink" Target="https://cies.org/" TargetMode="External"/><Relationship Id="rId398" Type="http://schemas.openxmlformats.org/officeDocument/2006/relationships/hyperlink" Target="https://sites.nationalacademies.org/PGA/FordFellowships/index.htm" TargetMode="External"/><Relationship Id="rId155" Type="http://schemas.openxmlformats.org/officeDocument/2006/relationships/hyperlink" Target="https://www.clir.org/hiddencollections/" TargetMode="External"/><Relationship Id="rId276" Type="http://schemas.openxmlformats.org/officeDocument/2006/relationships/hyperlink" Target="https://awards.cies.org/content/all-disciplines-465" TargetMode="External"/><Relationship Id="rId397" Type="http://schemas.openxmlformats.org/officeDocument/2006/relationships/hyperlink" Target="https://www.fu-berlin.de/en/" TargetMode="External"/><Relationship Id="rId40" Type="http://schemas.openxmlformats.org/officeDocument/2006/relationships/hyperlink" Target="https://www.neh.gov/grants/research/collaborative-research-grants" TargetMode="External"/><Relationship Id="rId42" Type="http://schemas.openxmlformats.org/officeDocument/2006/relationships/hyperlink" Target="https://jcblibrary.org/fellowships/opportunities" TargetMode="External"/><Relationship Id="rId41" Type="http://schemas.openxmlformats.org/officeDocument/2006/relationships/hyperlink" Target="https://jcblibrary.org/fellowships/opportunities" TargetMode="External"/><Relationship Id="rId44" Type="http://schemas.openxmlformats.org/officeDocument/2006/relationships/hyperlink" Target="https://www.nature.org/en-us/about-us/who-we-are/our-science/naturenet-science-fellowships/" TargetMode="External"/><Relationship Id="rId43" Type="http://schemas.openxmlformats.org/officeDocument/2006/relationships/hyperlink" Target="http://gruber.yale.edu/genetics" TargetMode="External"/><Relationship Id="rId46" Type="http://schemas.openxmlformats.org/officeDocument/2006/relationships/hyperlink" Target="https://asecsoffice.wixsite.com/asecsawards/jamescliffordprize" TargetMode="External"/><Relationship Id="rId45" Type="http://schemas.openxmlformats.org/officeDocument/2006/relationships/hyperlink" Target="https://www.neuroscienceblueprint.nih.gov/" TargetMode="External"/><Relationship Id="rId509" Type="http://schemas.openxmlformats.org/officeDocument/2006/relationships/hyperlink" Target="https://oral.history.ufl.edu/research/visiting-scholars/" TargetMode="External"/><Relationship Id="rId508" Type="http://schemas.openxmlformats.org/officeDocument/2006/relationships/hyperlink" Target="https://www.simonsfoundation.org/grant/targeted-grants-in-mps/" TargetMode="External"/><Relationship Id="rId503" Type="http://schemas.openxmlformats.org/officeDocument/2006/relationships/hyperlink" Target="http://nsf.gov/" TargetMode="External"/><Relationship Id="rId502" Type="http://schemas.openxmlformats.org/officeDocument/2006/relationships/hyperlink" Target="http://nsf.gov/" TargetMode="External"/><Relationship Id="rId501" Type="http://schemas.openxmlformats.org/officeDocument/2006/relationships/hyperlink" Target="http://nsf.gov/" TargetMode="External"/><Relationship Id="rId500" Type="http://schemas.openxmlformats.org/officeDocument/2006/relationships/hyperlink" Target="http://nsf.gov/" TargetMode="External"/><Relationship Id="rId507" Type="http://schemas.openxmlformats.org/officeDocument/2006/relationships/hyperlink" Target="https://www.baylor.edu/library/poage/index.php?id=925991" TargetMode="External"/><Relationship Id="rId506" Type="http://schemas.openxmlformats.org/officeDocument/2006/relationships/hyperlink" Target="http://nsf.gov/" TargetMode="External"/><Relationship Id="rId505" Type="http://schemas.openxmlformats.org/officeDocument/2006/relationships/hyperlink" Target="http://www.nsf.gov/funding/pgm_summ.jsp?pims_id=503623&amp;WT.mc_id=USNSF_39&amp;WT.mc_ev=click" TargetMode="External"/><Relationship Id="rId504" Type="http://schemas.openxmlformats.org/officeDocument/2006/relationships/hyperlink" Target="http://nsf.gov/" TargetMode="External"/><Relationship Id="rId48" Type="http://schemas.openxmlformats.org/officeDocument/2006/relationships/hyperlink" Target="http://www.apa.org/about/awards/congress-fellow.aspx" TargetMode="External"/><Relationship Id="rId47" Type="http://schemas.openxmlformats.org/officeDocument/2006/relationships/hyperlink" Target="https://www.mcknight.org/programs/the-mcknight-endowment-fund-for-neuroscience/scholar-awards/how-to-apply/" TargetMode="External"/><Relationship Id="rId49" Type="http://schemas.openxmlformats.org/officeDocument/2006/relationships/hyperlink" Target="https://www.thebrf.org/" TargetMode="External"/><Relationship Id="rId31" Type="http://schemas.openxmlformats.org/officeDocument/2006/relationships/hyperlink" Target="https://www.neh.gov/grants/research/scholarly-editions-and-translations-grants" TargetMode="External"/><Relationship Id="rId30" Type="http://schemas.openxmlformats.org/officeDocument/2006/relationships/hyperlink" Target="http://neh.gov/" TargetMode="External"/><Relationship Id="rId33" Type="http://schemas.openxmlformats.org/officeDocument/2006/relationships/hyperlink" Target="https://www.nypl.org/" TargetMode="External"/><Relationship Id="rId32" Type="http://schemas.openxmlformats.org/officeDocument/2006/relationships/hyperlink" Target="https://www.amphilsoc.org/grants/lewis-and-clark-fund-exploration-and-field-research-astrobiology" TargetMode="External"/><Relationship Id="rId35" Type="http://schemas.openxmlformats.org/officeDocument/2006/relationships/hyperlink" Target="https://www.iash.ed.ac.uk/" TargetMode="External"/><Relationship Id="rId34" Type="http://schemas.openxmlformats.org/officeDocument/2006/relationships/hyperlink" Target="https://www.nypl.org/help/about-nypl/fellowships-institutes/schomburg-center-scholars-in-residency/application-information" TargetMode="External"/><Relationship Id="rId37" Type="http://schemas.openxmlformats.org/officeDocument/2006/relationships/hyperlink" Target="https://trianglesci.org/" TargetMode="External"/><Relationship Id="rId36" Type="http://schemas.openxmlformats.org/officeDocument/2006/relationships/hyperlink" Target="https://www.iash.ed.ac.uk/american-philosophical-society-fellowship" TargetMode="External"/><Relationship Id="rId39" Type="http://schemas.openxmlformats.org/officeDocument/2006/relationships/hyperlink" Target="https://www.neh.gov/" TargetMode="External"/><Relationship Id="rId38" Type="http://schemas.openxmlformats.org/officeDocument/2006/relationships/hyperlink" Target="https://trianglesci.org/" TargetMode="External"/><Relationship Id="rId20" Type="http://schemas.openxmlformats.org/officeDocument/2006/relationships/hyperlink" Target="https://www.acls.org/programs/luce-acls-program-in-religion-journalism-international-affairs/" TargetMode="External"/><Relationship Id="rId22" Type="http://schemas.openxmlformats.org/officeDocument/2006/relationships/hyperlink" Target="https://lclf.harvard.edu/" TargetMode="External"/><Relationship Id="rId21" Type="http://schemas.openxmlformats.org/officeDocument/2006/relationships/hyperlink" Target="https://grammymuseum.org/national-reach/grant-program/" TargetMode="External"/><Relationship Id="rId24" Type="http://schemas.openxmlformats.org/officeDocument/2006/relationships/hyperlink" Target="https://www.fws.gov/law/neotropical-migratory-bird-conservation-act" TargetMode="External"/><Relationship Id="rId23" Type="http://schemas.openxmlformats.org/officeDocument/2006/relationships/hyperlink" Target="https://nhfp.stsci.edu/" TargetMode="External"/><Relationship Id="rId409" Type="http://schemas.openxmlformats.org/officeDocument/2006/relationships/hyperlink" Target="https://www.neafoundation.org/" TargetMode="External"/><Relationship Id="rId404" Type="http://schemas.openxmlformats.org/officeDocument/2006/relationships/hyperlink" Target="https://www.archives.gov/" TargetMode="External"/><Relationship Id="rId525" Type="http://schemas.openxmlformats.org/officeDocument/2006/relationships/hyperlink" Target="http://delmas.org/about-the-foundation/history/" TargetMode="External"/><Relationship Id="rId403" Type="http://schemas.openxmlformats.org/officeDocument/2006/relationships/hyperlink" Target="http://gruber.yale.edu/neuroscience-prize-nomination-criteria" TargetMode="External"/><Relationship Id="rId524" Type="http://schemas.openxmlformats.org/officeDocument/2006/relationships/hyperlink" Target="http://thwwf.org/Home_Page.html" TargetMode="External"/><Relationship Id="rId402" Type="http://schemas.openxmlformats.org/officeDocument/2006/relationships/hyperlink" Target="https://www.delmas.org/venetian-research-program" TargetMode="External"/><Relationship Id="rId523" Type="http://schemas.openxmlformats.org/officeDocument/2006/relationships/hyperlink" Target="http://thwwf.org/Home_Page.html" TargetMode="External"/><Relationship Id="rId401" Type="http://schemas.openxmlformats.org/officeDocument/2006/relationships/hyperlink" Target="http://www.neh.gov/grants/research/public-scholar-program" TargetMode="External"/><Relationship Id="rId522" Type="http://schemas.openxmlformats.org/officeDocument/2006/relationships/hyperlink" Target="https://www.publicwelfare.org/grants/apply-for-a-grant/" TargetMode="External"/><Relationship Id="rId408" Type="http://schemas.openxmlformats.org/officeDocument/2006/relationships/hyperlink" Target="https://www.archaeological.org/grant/colburn-fellowships/" TargetMode="External"/><Relationship Id="rId529" Type="http://schemas.openxmlformats.org/officeDocument/2006/relationships/hyperlink" Target="http://osgf.org/" TargetMode="External"/><Relationship Id="rId407" Type="http://schemas.openxmlformats.org/officeDocument/2006/relationships/hyperlink" Target="https://www.neh.gov/grants/preservation/sustaining-cultural-heritage-collections" TargetMode="External"/><Relationship Id="rId528" Type="http://schemas.openxmlformats.org/officeDocument/2006/relationships/hyperlink" Target="https://www.jfny.org/grants/grants/" TargetMode="External"/><Relationship Id="rId406" Type="http://schemas.openxmlformats.org/officeDocument/2006/relationships/hyperlink" Target="https://www.neh.gov/" TargetMode="External"/><Relationship Id="rId527" Type="http://schemas.openxmlformats.org/officeDocument/2006/relationships/hyperlink" Target="https://www.jfny.org/grants/grants-for-japanese-studies/" TargetMode="External"/><Relationship Id="rId405" Type="http://schemas.openxmlformats.org/officeDocument/2006/relationships/hyperlink" Target="https://www.archives.gov/nhprc/announcement/editions.html" TargetMode="External"/><Relationship Id="rId526" Type="http://schemas.openxmlformats.org/officeDocument/2006/relationships/hyperlink" Target="https://delmas.org/programs/" TargetMode="External"/><Relationship Id="rId26" Type="http://schemas.openxmlformats.org/officeDocument/2006/relationships/hyperlink" Target="http://nsf.gov/" TargetMode="External"/><Relationship Id="rId25" Type="http://schemas.openxmlformats.org/officeDocument/2006/relationships/hyperlink" Target="http://fitchfoundation.org/grants/fitch-kress/" TargetMode="External"/><Relationship Id="rId28" Type="http://schemas.openxmlformats.org/officeDocument/2006/relationships/hyperlink" Target="http://nsf.gov/" TargetMode="External"/><Relationship Id="rId27" Type="http://schemas.openxmlformats.org/officeDocument/2006/relationships/hyperlink" Target="https://history.princeton.edu/centers-programs/shelby-cullom-davis-center/fellowships" TargetMode="External"/><Relationship Id="rId400" Type="http://schemas.openxmlformats.org/officeDocument/2006/relationships/hyperlink" Target="https://www.aps.org/policy/fellowships/congressional.cfm" TargetMode="External"/><Relationship Id="rId521" Type="http://schemas.openxmlformats.org/officeDocument/2006/relationships/hyperlink" Target="https://www.publicwelfare.org/about-us/" TargetMode="External"/><Relationship Id="rId29" Type="http://schemas.openxmlformats.org/officeDocument/2006/relationships/hyperlink" Target="https://research.google/outreach/research-scholar-program/" TargetMode="External"/><Relationship Id="rId520" Type="http://schemas.openxmlformats.org/officeDocument/2006/relationships/hyperlink" Target="https://proposals.nycommunitytrust.org/" TargetMode="External"/><Relationship Id="rId11" Type="http://schemas.openxmlformats.org/officeDocument/2006/relationships/hyperlink" Target="https://www.caorc.org/neh-fellowship-guidelines" TargetMode="External"/><Relationship Id="rId10" Type="http://schemas.openxmlformats.org/officeDocument/2006/relationships/hyperlink" Target="https://arts.princeton.edu/fellowships/hodder-fellowship/" TargetMode="External"/><Relationship Id="rId13" Type="http://schemas.openxmlformats.org/officeDocument/2006/relationships/hyperlink" Target="https://www.neh.gov/program/archaeological-and-ethnographic-field-research" TargetMode="External"/><Relationship Id="rId12" Type="http://schemas.openxmlformats.org/officeDocument/2006/relationships/hyperlink" Target="https://www.neh.gov/" TargetMode="External"/><Relationship Id="rId519" Type="http://schemas.openxmlformats.org/officeDocument/2006/relationships/hyperlink" Target="https://www.nycommunitytrust.org/" TargetMode="External"/><Relationship Id="rId514" Type="http://schemas.openxmlformats.org/officeDocument/2006/relationships/hyperlink" Target="https://www.nsf.gov/funding/pgm_summ.jsp?pims_id=503634" TargetMode="External"/><Relationship Id="rId513" Type="http://schemas.openxmlformats.org/officeDocument/2006/relationships/hyperlink" Target="http://nsf.gov/" TargetMode="External"/><Relationship Id="rId512" Type="http://schemas.openxmlformats.org/officeDocument/2006/relationships/hyperlink" Target="https://theihs.org/funding/hayekfund/" TargetMode="External"/><Relationship Id="rId511" Type="http://schemas.openxmlformats.org/officeDocument/2006/relationships/hyperlink" Target="http://maxkadefoundation.org/grants.html" TargetMode="External"/><Relationship Id="rId518" Type="http://schemas.openxmlformats.org/officeDocument/2006/relationships/hyperlink" Target="https://knightfoundation.org/topics/libraries/" TargetMode="External"/><Relationship Id="rId517" Type="http://schemas.openxmlformats.org/officeDocument/2006/relationships/hyperlink" Target="https://knightfoundation.org/" TargetMode="External"/><Relationship Id="rId516" Type="http://schemas.openxmlformats.org/officeDocument/2006/relationships/hyperlink" Target="http://www.nsf.gov/funding/pgm_summ.jsp?pims_id=13544&amp;amp;WT.mc_id=USNSF_39&amp;amp;WT.mc_ev=click" TargetMode="External"/><Relationship Id="rId515" Type="http://schemas.openxmlformats.org/officeDocument/2006/relationships/hyperlink" Target="http://nsf.gov/" TargetMode="External"/><Relationship Id="rId15" Type="http://schemas.openxmlformats.org/officeDocument/2006/relationships/hyperlink" Target="https://www.rsa.org/page/GrantKressPub/Samuel-H.-Kress-Mid-Career-Research-and-Publication-Fellowships-in-Art.htm" TargetMode="External"/><Relationship Id="rId14" Type="http://schemas.openxmlformats.org/officeDocument/2006/relationships/hyperlink" Target="http://www.quaibranly.fr/en/scientific-research/activities/scholarships-and-thesis-prizes/research-fellowships/" TargetMode="External"/><Relationship Id="rId17" Type="http://schemas.openxmlformats.org/officeDocument/2006/relationships/hyperlink" Target="https://www.jnj.com/wistem2d" TargetMode="External"/><Relationship Id="rId16" Type="http://schemas.openxmlformats.org/officeDocument/2006/relationships/hyperlink" Target="https://www.gf.org/how-to-apply/" TargetMode="External"/><Relationship Id="rId19" Type="http://schemas.openxmlformats.org/officeDocument/2006/relationships/hyperlink" Target="http://fitchfoundation.org/grants/blinder/" TargetMode="External"/><Relationship Id="rId510" Type="http://schemas.openxmlformats.org/officeDocument/2006/relationships/hyperlink" Target="http://pulitzercenter.org/grants/how-apply" TargetMode="External"/><Relationship Id="rId18" Type="http://schemas.openxmlformats.org/officeDocument/2006/relationships/hyperlink" Target="https://www.jnj.com/wistem2d-university-scholars" TargetMode="External"/><Relationship Id="rId84" Type="http://schemas.openxmlformats.org/officeDocument/2006/relationships/hyperlink" Target="https://www.aboutamazon.com/news/books-and-authors/apply-now-for-this-years-amazon-literary-partnership-grants" TargetMode="External"/><Relationship Id="rId83" Type="http://schemas.openxmlformats.org/officeDocument/2006/relationships/hyperlink" Target="https://www.aboutamazon.com/" TargetMode="External"/><Relationship Id="rId86" Type="http://schemas.openxmlformats.org/officeDocument/2006/relationships/hyperlink" Target="http://aimsnorthafrica.org/long-and-short-term-grants/" TargetMode="External"/><Relationship Id="rId85" Type="http://schemas.openxmlformats.org/officeDocument/2006/relationships/hyperlink" Target="https://www.apsanet.org/section34" TargetMode="External"/><Relationship Id="rId88" Type="http://schemas.openxmlformats.org/officeDocument/2006/relationships/hyperlink" Target="https://urbancomm.org/" TargetMode="External"/><Relationship Id="rId87" Type="http://schemas.openxmlformats.org/officeDocument/2006/relationships/hyperlink" Target="https://demingfund.org/funding-pd-8.php" TargetMode="External"/><Relationship Id="rId89" Type="http://schemas.openxmlformats.org/officeDocument/2006/relationships/hyperlink" Target="https://urbancomm.org/grants" TargetMode="External"/><Relationship Id="rId80" Type="http://schemas.openxmlformats.org/officeDocument/2006/relationships/hyperlink" Target="http://blavatnikawards.org/" TargetMode="External"/><Relationship Id="rId82" Type="http://schemas.openxmlformats.org/officeDocument/2006/relationships/hyperlink" Target="http://psscra.org/application/" TargetMode="External"/><Relationship Id="rId81" Type="http://schemas.openxmlformats.org/officeDocument/2006/relationships/hyperlink" Target="http://blavatnikawards.org/awards/national-awards/" TargetMode="External"/><Relationship Id="rId73" Type="http://schemas.openxmlformats.org/officeDocument/2006/relationships/hyperlink" Target="https://www.caorc.org/neh-fellowship-guidelines" TargetMode="External"/><Relationship Id="rId72" Type="http://schemas.openxmlformats.org/officeDocument/2006/relationships/hyperlink" Target="https://www.caorc.org/" TargetMode="External"/><Relationship Id="rId75" Type="http://schemas.openxmlformats.org/officeDocument/2006/relationships/hyperlink" Target="http://www.chemheritage.org/research/beckman-center/beckman-center-fellowships/index.aspx?utm_source=BeckmanCenter&amp;utm_medium=web&amp;utm_campaign=redirect" TargetMode="External"/><Relationship Id="rId74" Type="http://schemas.openxmlformats.org/officeDocument/2006/relationships/hyperlink" Target="https://www.caorc.org/multi-fellowship-guidelines" TargetMode="External"/><Relationship Id="rId77" Type="http://schemas.openxmlformats.org/officeDocument/2006/relationships/hyperlink" Target="https://beta.nsf.gov/funding/opportunities/improving-undergraduate-stem-education-education-and-human-resources-iuse-ehr" TargetMode="External"/><Relationship Id="rId76" Type="http://schemas.openxmlformats.org/officeDocument/2006/relationships/hyperlink" Target="http://nsf.gov/" TargetMode="External"/><Relationship Id="rId79" Type="http://schemas.openxmlformats.org/officeDocument/2006/relationships/hyperlink" Target="https://www.nsf.gov/publications/pub_summ.jsp?ods_key=nsf22555" TargetMode="External"/><Relationship Id="rId78" Type="http://schemas.openxmlformats.org/officeDocument/2006/relationships/hyperlink" Target="http://nsf.gov/" TargetMode="External"/><Relationship Id="rId71" Type="http://schemas.openxmlformats.org/officeDocument/2006/relationships/hyperlink" Target="https://americanmusicabroad.org/criteria/apply/" TargetMode="External"/><Relationship Id="rId70" Type="http://schemas.openxmlformats.org/officeDocument/2006/relationships/hyperlink" Target="https://www.nationalgeographic.org/funding-opportunities/grants/what-we-fund/" TargetMode="External"/><Relationship Id="rId62" Type="http://schemas.openxmlformats.org/officeDocument/2006/relationships/hyperlink" Target="https://asecsoffice.wixsite.com/asecsawards/wceditingandtranslationfellowship" TargetMode="External"/><Relationship Id="rId61" Type="http://schemas.openxmlformats.org/officeDocument/2006/relationships/hyperlink" Target="http://www.archives.nysed.gov/grants/hackman" TargetMode="External"/><Relationship Id="rId64" Type="http://schemas.openxmlformats.org/officeDocument/2006/relationships/hyperlink" Target="https://www.bwfund.org/funding-opportunities/climate-change-and-human-health/climate-change-and-human-health-seed-grants/" TargetMode="External"/><Relationship Id="rId63" Type="http://schemas.openxmlformats.org/officeDocument/2006/relationships/hyperlink" Target="http://www.kressfoundation.org/Programs/Grants/History-of-Art" TargetMode="External"/><Relationship Id="rId66" Type="http://schemas.openxmlformats.org/officeDocument/2006/relationships/hyperlink" Target="https://beta.nsf.gov/funding/opportunities/science-and-technology-studies-sts" TargetMode="External"/><Relationship Id="rId65" Type="http://schemas.openxmlformats.org/officeDocument/2006/relationships/hyperlink" Target="https://beta.nsf.gov/funding/opportunities/mid-career-advancement-mca" TargetMode="External"/><Relationship Id="rId68" Type="http://schemas.openxmlformats.org/officeDocument/2006/relationships/hyperlink" Target="http://www.nsf.gov/funding/pgm_summ.jsp?pims_id=5260" TargetMode="External"/><Relationship Id="rId67" Type="http://schemas.openxmlformats.org/officeDocument/2006/relationships/hyperlink" Target="https://www.societyforfrenchhistoricalstudies.net/research-travel-prize/" TargetMode="External"/><Relationship Id="rId60" Type="http://schemas.openxmlformats.org/officeDocument/2006/relationships/hyperlink" Target="https://www.winterthur.org/fellowships-available/" TargetMode="External"/><Relationship Id="rId69" Type="http://schemas.openxmlformats.org/officeDocument/2006/relationships/hyperlink" Target="http://www.wawh.org/awards/" TargetMode="External"/><Relationship Id="rId51" Type="http://schemas.openxmlformats.org/officeDocument/2006/relationships/hyperlink" Target="https://www.oxcis.ac.uk/visiting-fellowships" TargetMode="External"/><Relationship Id="rId50" Type="http://schemas.openxmlformats.org/officeDocument/2006/relationships/hyperlink" Target="https://www.thebrf.org/seed-grants/" TargetMode="External"/><Relationship Id="rId53" Type="http://schemas.openxmlformats.org/officeDocument/2006/relationships/hyperlink" Target="https://leakeyfoundation.org/grants/research-grants/" TargetMode="External"/><Relationship Id="rId52" Type="http://schemas.openxmlformats.org/officeDocument/2006/relationships/hyperlink" Target="https://www.hrc.utexas.edu/fellowships/" TargetMode="External"/><Relationship Id="rId55" Type="http://schemas.openxmlformats.org/officeDocument/2006/relationships/hyperlink" Target="https://www.arts.gov/grants/translation-projects" TargetMode="External"/><Relationship Id="rId54" Type="http://schemas.openxmlformats.org/officeDocument/2006/relationships/hyperlink" Target="https://beta.nsf.gov/funding/opportunities/advancing-informal-stem-learning-aisl" TargetMode="External"/><Relationship Id="rId57" Type="http://schemas.openxmlformats.org/officeDocument/2006/relationships/hyperlink" Target="http://britishart.yale.edu/research/residential-scholar-awards/visiting-scholar-awards" TargetMode="External"/><Relationship Id="rId56" Type="http://schemas.openxmlformats.org/officeDocument/2006/relationships/hyperlink" Target="https://www.parc-us-pal.org/neh-fpiri-fellowships/" TargetMode="External"/><Relationship Id="rId59" Type="http://schemas.openxmlformats.org/officeDocument/2006/relationships/hyperlink" Target="https://www.winterthur.org/fellowships-available/" TargetMode="External"/><Relationship Id="rId58" Type="http://schemas.openxmlformats.org/officeDocument/2006/relationships/hyperlink" Target="https://library.si.edu/press-headline/margaret-henry-dabney-penick-resident-scholar-program" TargetMode="External"/><Relationship Id="rId107" Type="http://schemas.openxmlformats.org/officeDocument/2006/relationships/hyperlink" Target="http://jamesweldonjohnson.emory.edu/home/fellows-program/index.html" TargetMode="External"/><Relationship Id="rId228" Type="http://schemas.openxmlformats.org/officeDocument/2006/relationships/hyperlink" Target="https://www.aarweb.org/AARMBR/About-AAR-/Grant-Programs-/Research-Grants-/Individual-Research-Grants.aspx?WebsiteKey=61d76dfc-e7fe-4820-a0ca-1f792d24c06e" TargetMode="External"/><Relationship Id="rId349" Type="http://schemas.openxmlformats.org/officeDocument/2006/relationships/hyperlink" Target="https://www.taaonline.net/grants" TargetMode="External"/><Relationship Id="rId106" Type="http://schemas.openxmlformats.org/officeDocument/2006/relationships/hyperlink" Target="https://www.nsf.gov/publications/pub_summ.jsp?ods_key=nsf21587" TargetMode="External"/><Relationship Id="rId227" Type="http://schemas.openxmlformats.org/officeDocument/2006/relationships/hyperlink" Target="https://www.aarweb.org/AARMBR/" TargetMode="External"/><Relationship Id="rId348" Type="http://schemas.openxmlformats.org/officeDocument/2006/relationships/hyperlink" Target="https://www.taaonline.net/" TargetMode="External"/><Relationship Id="rId469" Type="http://schemas.openxmlformats.org/officeDocument/2006/relationships/hyperlink" Target="https://clags.org/scholar-in-residence-fellowship/" TargetMode="External"/><Relationship Id="rId105" Type="http://schemas.openxmlformats.org/officeDocument/2006/relationships/hyperlink" Target="https://www.opensocietyfoundations.org/grants/soros-justice-fellowships" TargetMode="External"/><Relationship Id="rId226" Type="http://schemas.openxmlformats.org/officeDocument/2006/relationships/hyperlink" Target="http://www.hfg.org/rg/guidelines.htm" TargetMode="External"/><Relationship Id="rId347" Type="http://schemas.openxmlformats.org/officeDocument/2006/relationships/hyperlink" Target="https://www.arts.gov/honors/jazz" TargetMode="External"/><Relationship Id="rId468" Type="http://schemas.openxmlformats.org/officeDocument/2006/relationships/hyperlink" Target="https://www.radcliffe.harvard.edu/opportunities-for-researchers" TargetMode="External"/><Relationship Id="rId104" Type="http://schemas.openxmlformats.org/officeDocument/2006/relationships/hyperlink" Target="http://depts.washington.edu/jacobsf/apply.php" TargetMode="External"/><Relationship Id="rId225" Type="http://schemas.openxmlformats.org/officeDocument/2006/relationships/hyperlink" Target="https://www.hfg.org/" TargetMode="External"/><Relationship Id="rId346" Type="http://schemas.openxmlformats.org/officeDocument/2006/relationships/hyperlink" Target="http://arts.gov/" TargetMode="External"/><Relationship Id="rId467" Type="http://schemas.openxmlformats.org/officeDocument/2006/relationships/hyperlink" Target="https://www.asianculturalcouncil.org/our-work/programs/fellowships-and-grants/individual-fellowship" TargetMode="External"/><Relationship Id="rId109" Type="http://schemas.openxmlformats.org/officeDocument/2006/relationships/hyperlink" Target="https://www.archives.gov/nhprc/announcement/preliminary-proposal/prelim.html" TargetMode="External"/><Relationship Id="rId108" Type="http://schemas.openxmlformats.org/officeDocument/2006/relationships/hyperlink" Target="https://www.archives.gov/" TargetMode="External"/><Relationship Id="rId229" Type="http://schemas.openxmlformats.org/officeDocument/2006/relationships/hyperlink" Target="http://www.nsf.gov/funding/pgm_summ.jsp?pims_id=5686&amp;WT.mc_id=USNSF_39&amp;WT.mc_ev=click" TargetMode="External"/><Relationship Id="rId220" Type="http://schemas.openxmlformats.org/officeDocument/2006/relationships/hyperlink" Target="http://www.nsf.gov/funding/pgm_summ.jsp?pims_id=503214" TargetMode="External"/><Relationship Id="rId341" Type="http://schemas.openxmlformats.org/officeDocument/2006/relationships/hyperlink" Target="https://beta.nsf.gov/funding/opportunities/ehr-core-research-ecrcore" TargetMode="External"/><Relationship Id="rId462" Type="http://schemas.openxmlformats.org/officeDocument/2006/relationships/hyperlink" Target="https://nyscf.org/programs/extramural-grants/applicants/neuroscience-investigator-awards/" TargetMode="External"/><Relationship Id="rId583" Type="http://schemas.openxmlformats.org/officeDocument/2006/relationships/hyperlink" Target="https://www.archives.gov/nhprc/announcement/engagement.html" TargetMode="External"/><Relationship Id="rId340" Type="http://schemas.openxmlformats.org/officeDocument/2006/relationships/hyperlink" Target="https://beta.nsf.gov/funding/opportunities/science-science-policy-approach-analyzing-and-innovating-biomedical-research" TargetMode="External"/><Relationship Id="rId461" Type="http://schemas.openxmlformats.org/officeDocument/2006/relationships/hyperlink" Target="https://huri.harvard.edu/jacyk-distinguished-fellowships" TargetMode="External"/><Relationship Id="rId582" Type="http://schemas.openxmlformats.org/officeDocument/2006/relationships/hyperlink" Target="https://www.nywf.org/our-work/apply-for-grants/" TargetMode="External"/><Relationship Id="rId460" Type="http://schemas.openxmlformats.org/officeDocument/2006/relationships/hyperlink" Target="https://huri.harvard.edu/HURI-research-fellowships" TargetMode="External"/><Relationship Id="rId581" Type="http://schemas.openxmlformats.org/officeDocument/2006/relationships/hyperlink" Target="https://www.nywf.org/" TargetMode="External"/><Relationship Id="rId580" Type="http://schemas.openxmlformats.org/officeDocument/2006/relationships/hyperlink" Target="https://arts.ny.gov/programs/special-arts-services" TargetMode="External"/><Relationship Id="rId103" Type="http://schemas.openxmlformats.org/officeDocument/2006/relationships/hyperlink" Target="https://depts.washington.edu/jacobsf/index.php" TargetMode="External"/><Relationship Id="rId224" Type="http://schemas.openxmlformats.org/officeDocument/2006/relationships/hyperlink" Target="http://bradyeducationfoundation.org/application-guidelines/" TargetMode="External"/><Relationship Id="rId345" Type="http://schemas.openxmlformats.org/officeDocument/2006/relationships/hyperlink" Target="http://grants.nih.gov/grants/funding/area.htm" TargetMode="External"/><Relationship Id="rId466" Type="http://schemas.openxmlformats.org/officeDocument/2006/relationships/hyperlink" Target="https://fass.nus.edu.sg/visiting-appointments/fass-visiting-fellowships/" TargetMode="External"/><Relationship Id="rId102" Type="http://schemas.openxmlformats.org/officeDocument/2006/relationships/hyperlink" Target="https://fellowships.si.edu/Mpala" TargetMode="External"/><Relationship Id="rId223" Type="http://schemas.openxmlformats.org/officeDocument/2006/relationships/hyperlink" Target="https://hrc.cass.anu.edu.au/visiting-fellows-program" TargetMode="External"/><Relationship Id="rId344" Type="http://schemas.openxmlformats.org/officeDocument/2006/relationships/hyperlink" Target="https://woodrow.org/fellowships/mellon/career-enhancement/" TargetMode="External"/><Relationship Id="rId465" Type="http://schemas.openxmlformats.org/officeDocument/2006/relationships/hyperlink" Target="https://www.nsf.gov/funding/pgm_summ.jsp?pims_id=503535" TargetMode="External"/><Relationship Id="rId586" Type="http://schemas.openxmlformats.org/officeDocument/2006/relationships/drawing" Target="../drawings/drawing1.xml"/><Relationship Id="rId101" Type="http://schemas.openxmlformats.org/officeDocument/2006/relationships/hyperlink" Target="http://www.bwfund.org/grant-programs/regulatory-science/innovation-regulatory-science" TargetMode="External"/><Relationship Id="rId222" Type="http://schemas.openxmlformats.org/officeDocument/2006/relationships/hyperlink" Target="https://www.arts.gov/honors/heritage/make-a-national-heritage-fellowship-nomination" TargetMode="External"/><Relationship Id="rId343" Type="http://schemas.openxmlformats.org/officeDocument/2006/relationships/hyperlink" Target="https://woodrow.org/fellowships/mellon/career-enhancement/" TargetMode="External"/><Relationship Id="rId464" Type="http://schemas.openxmlformats.org/officeDocument/2006/relationships/hyperlink" Target="https://www.berggruen.org/fellowship-program/" TargetMode="External"/><Relationship Id="rId585" Type="http://schemas.openxmlformats.org/officeDocument/2006/relationships/hyperlink" Target="https://forwomen.org/grants-2/awgc-2021-rfp/" TargetMode="External"/><Relationship Id="rId100" Type="http://schemas.openxmlformats.org/officeDocument/2006/relationships/hyperlink" Target="http://saba.abainternational.org/grants/International-Development-Grant" TargetMode="External"/><Relationship Id="rId221" Type="http://schemas.openxmlformats.org/officeDocument/2006/relationships/hyperlink" Target="https://www.russellsage.org/research/funding/covid-19-pandemic" TargetMode="External"/><Relationship Id="rId342" Type="http://schemas.openxmlformats.org/officeDocument/2006/relationships/hyperlink" Target="https://www.nsf.gov/funding/pgm_summ.jsp?pims_id=5750" TargetMode="External"/><Relationship Id="rId463" Type="http://schemas.openxmlformats.org/officeDocument/2006/relationships/hyperlink" Target="https://www.spencer.org/grant_types/lyle-spencer-research-awards" TargetMode="External"/><Relationship Id="rId584" Type="http://schemas.openxmlformats.org/officeDocument/2006/relationships/hyperlink" Target="https://www.archives.gov/nhprc/announcement/digitaleditions" TargetMode="External"/><Relationship Id="rId217" Type="http://schemas.openxmlformats.org/officeDocument/2006/relationships/hyperlink" Target="https://www.stonewallfoundation.org/grants/" TargetMode="External"/><Relationship Id="rId338" Type="http://schemas.openxmlformats.org/officeDocument/2006/relationships/hyperlink" Target="https://www.eui.eu/en/academic-units/max-weber-programme-for-postdoctoral-studies/about-the-max-weber-programme" TargetMode="External"/><Relationship Id="rId459" Type="http://schemas.openxmlformats.org/officeDocument/2006/relationships/hyperlink" Target="https://artomi.org/residencies/dance" TargetMode="External"/><Relationship Id="rId216" Type="http://schemas.openxmlformats.org/officeDocument/2006/relationships/hyperlink" Target="http://www.nsf.gov/funding/pgm_summ.jsp?pims_id=5408" TargetMode="External"/><Relationship Id="rId337" Type="http://schemas.openxmlformats.org/officeDocument/2006/relationships/hyperlink" Target="https://www.eui.eu/en/home" TargetMode="External"/><Relationship Id="rId458" Type="http://schemas.openxmlformats.org/officeDocument/2006/relationships/hyperlink" Target="https://mcgovern.mit.edu/events/edward-m-scolnick-prize-in-neuroscience/" TargetMode="External"/><Relationship Id="rId579" Type="http://schemas.openxmlformats.org/officeDocument/2006/relationships/hyperlink" Target="https://arts.ny.gov/" TargetMode="External"/><Relationship Id="rId215" Type="http://schemas.openxmlformats.org/officeDocument/2006/relationships/hyperlink" Target="http://www.nsf.gov/funding/pgm_summ.jsp?pims_id=5712" TargetMode="External"/><Relationship Id="rId336" Type="http://schemas.openxmlformats.org/officeDocument/2006/relationships/hyperlink" Target="https://www.acs.org/content/acs/en/funding-and-awards/awards/national/bytopic/acs-award-for-encouraging-women-into-careers-in-the-chemical-sciences.html" TargetMode="External"/><Relationship Id="rId457" Type="http://schemas.openxmlformats.org/officeDocument/2006/relationships/hyperlink" Target="https://uchv.princeton.edu/fellowships-awards/laurance-s-rockefeller-visiting-faculty-fellowships" TargetMode="External"/><Relationship Id="rId578" Type="http://schemas.openxmlformats.org/officeDocument/2006/relationships/hyperlink" Target="https://arts.ny.gov/programs/museum" TargetMode="External"/><Relationship Id="rId214" Type="http://schemas.openxmlformats.org/officeDocument/2006/relationships/hyperlink" Target="https://www.nsf.gov/funding/pgm_summ.jsp?pims_id=505731" TargetMode="External"/><Relationship Id="rId335" Type="http://schemas.openxmlformats.org/officeDocument/2006/relationships/hyperlink" Target="http://www.cckf.org/en/programs" TargetMode="External"/><Relationship Id="rId456" Type="http://schemas.openxmlformats.org/officeDocument/2006/relationships/hyperlink" Target="https://www.carnegie.org/news/articles/andrew-carnegie-fellows-program-info/" TargetMode="External"/><Relationship Id="rId577" Type="http://schemas.openxmlformats.org/officeDocument/2006/relationships/hyperlink" Target="https://arts.ny.gov/" TargetMode="External"/><Relationship Id="rId219" Type="http://schemas.openxmlformats.org/officeDocument/2006/relationships/hyperlink" Target="http://nsf.gov/" TargetMode="External"/><Relationship Id="rId218" Type="http://schemas.openxmlformats.org/officeDocument/2006/relationships/hyperlink" Target="https://beta.nsf.gov/funding/opportunities/biological-anthropology-program-senior-research" TargetMode="External"/><Relationship Id="rId339" Type="http://schemas.openxmlformats.org/officeDocument/2006/relationships/hyperlink" Target="http://grants1.nih.gov/grants/funding/submissionschedule.htm" TargetMode="External"/><Relationship Id="rId330" Type="http://schemas.openxmlformats.org/officeDocument/2006/relationships/hyperlink" Target="https://sites.nationalacademies.org/PGA/RAP/index.htm?_ga=2.142185522.1811049223.1561745918-1987281585.1560174557" TargetMode="External"/><Relationship Id="rId451" Type="http://schemas.openxmlformats.org/officeDocument/2006/relationships/hyperlink" Target="https://www.ala.org/awardsgrants/carroll-preston-baber-research-grant-1" TargetMode="External"/><Relationship Id="rId572" Type="http://schemas.openxmlformats.org/officeDocument/2006/relationships/hyperlink" Target="https://www.ias.edu/sss/applications-school-social-science-2022-23" TargetMode="External"/><Relationship Id="rId450" Type="http://schemas.openxmlformats.org/officeDocument/2006/relationships/hyperlink" Target="https://www.ala.org/" TargetMode="External"/><Relationship Id="rId571" Type="http://schemas.openxmlformats.org/officeDocument/2006/relationships/hyperlink" Target="http://wtgrantfoundation.org/Grants" TargetMode="External"/><Relationship Id="rId570" Type="http://schemas.openxmlformats.org/officeDocument/2006/relationships/hyperlink" Target="https://leonlevyfoundation.org/leon-levy-foundation-archives-catalogues-program/" TargetMode="External"/><Relationship Id="rId213" Type="http://schemas.openxmlformats.org/officeDocument/2006/relationships/hyperlink" Target="https://www.arts.gov/grants/grants-for-arts-projects" TargetMode="External"/><Relationship Id="rId334" Type="http://schemas.openxmlformats.org/officeDocument/2006/relationships/hyperlink" Target="https://www.clarkart.edu/research-academic/fellowship-program/about-clark-fellows" TargetMode="External"/><Relationship Id="rId455" Type="http://schemas.openxmlformats.org/officeDocument/2006/relationships/hyperlink" Target="https://www.whiting.org/awards/creative-nonfiction-grant" TargetMode="External"/><Relationship Id="rId576" Type="http://schemas.openxmlformats.org/officeDocument/2006/relationships/hyperlink" Target="https://arts.ny.gov/programs/arts-education" TargetMode="External"/><Relationship Id="rId212" Type="http://schemas.openxmlformats.org/officeDocument/2006/relationships/hyperlink" Target="https://www.arts.gov/grants/grants-for-arts-projects/program-description" TargetMode="External"/><Relationship Id="rId333" Type="http://schemas.openxmlformats.org/officeDocument/2006/relationships/hyperlink" Target="https://www.nga.gov/research/casva/fellowships/senior-fellowships.html" TargetMode="External"/><Relationship Id="rId454" Type="http://schemas.openxmlformats.org/officeDocument/2006/relationships/hyperlink" Target="https://www.amyclampitt.com/the-residency-main" TargetMode="External"/><Relationship Id="rId575" Type="http://schemas.openxmlformats.org/officeDocument/2006/relationships/hyperlink" Target="https://arts.ny.gov/" TargetMode="External"/><Relationship Id="rId211" Type="http://schemas.openxmlformats.org/officeDocument/2006/relationships/hyperlink" Target="https://www.arts.gov/" TargetMode="External"/><Relationship Id="rId332" Type="http://schemas.openxmlformats.org/officeDocument/2006/relationships/hyperlink" Target="https://wsrp.hds.harvard.edu/apply" TargetMode="External"/><Relationship Id="rId453" Type="http://schemas.openxmlformats.org/officeDocument/2006/relationships/hyperlink" Target="https://www.berkshiretaconic.org/" TargetMode="External"/><Relationship Id="rId574" Type="http://schemas.openxmlformats.org/officeDocument/2006/relationships/hyperlink" Target="https://calhum.org/programs-initiatives/" TargetMode="External"/><Relationship Id="rId210" Type="http://schemas.openxmlformats.org/officeDocument/2006/relationships/hyperlink" Target="http://wtgrantfoundation.org/grants/william-t-grant-scholars-program" TargetMode="External"/><Relationship Id="rId331" Type="http://schemas.openxmlformats.org/officeDocument/2006/relationships/hyperlink" Target="http://sites.nationalacademies.org/pga/jefferson/?_ga=2.157111035.1954131380.1509474902-2139803928.1509474902" TargetMode="External"/><Relationship Id="rId452" Type="http://schemas.openxmlformats.org/officeDocument/2006/relationships/hyperlink" Target="https://journalism.columbia.edu/lukas" TargetMode="External"/><Relationship Id="rId573" Type="http://schemas.openxmlformats.org/officeDocument/2006/relationships/hyperlink" Target="https://calhum.org/" TargetMode="External"/><Relationship Id="rId370" Type="http://schemas.openxmlformats.org/officeDocument/2006/relationships/hyperlink" Target="https://www.archaeological.org/grant/publication-subvention-program/" TargetMode="External"/><Relationship Id="rId491" Type="http://schemas.openxmlformats.org/officeDocument/2006/relationships/hyperlink" Target="http://www.ala.org/" TargetMode="External"/><Relationship Id="rId490" Type="http://schemas.openxmlformats.org/officeDocument/2006/relationships/hyperlink" Target="http://delmas.org/programs/" TargetMode="External"/><Relationship Id="rId129" Type="http://schemas.openxmlformats.org/officeDocument/2006/relationships/hyperlink" Target="https://www.imls.gov/grants/available/national-leadership-grants-libraries/" TargetMode="External"/><Relationship Id="rId128" Type="http://schemas.openxmlformats.org/officeDocument/2006/relationships/hyperlink" Target="https://beta.nsf.gov/funding/opportunities/future-work-human-technology-frontier-core" TargetMode="External"/><Relationship Id="rId249" Type="http://schemas.openxmlformats.org/officeDocument/2006/relationships/hyperlink" Target="https://resist.org/" TargetMode="External"/><Relationship Id="rId127" Type="http://schemas.openxmlformats.org/officeDocument/2006/relationships/hyperlink" Target="https://beta.nsf.gov/funding/opportunities/frontier-research-earth-sciences-fres" TargetMode="External"/><Relationship Id="rId248" Type="http://schemas.openxmlformats.org/officeDocument/2006/relationships/hyperlink" Target="http://www.kressfoundation.org/Programs/Grants/Conservation" TargetMode="External"/><Relationship Id="rId369" Type="http://schemas.openxmlformats.org/officeDocument/2006/relationships/hyperlink" Target="https://www.archaeological.org/grant/kress-grants/" TargetMode="External"/><Relationship Id="rId126" Type="http://schemas.openxmlformats.org/officeDocument/2006/relationships/hyperlink" Target="https://www.nga.gov/research/casva/fellowships/visiting-senior-fellowships.html" TargetMode="External"/><Relationship Id="rId247" Type="http://schemas.openxmlformats.org/officeDocument/2006/relationships/hyperlink" Target="https://www.kressfoundation.org/Programs/Grants/Digital-Art-History" TargetMode="External"/><Relationship Id="rId368" Type="http://schemas.openxmlformats.org/officeDocument/2006/relationships/hyperlink" Target="https://www.tmuny.org/faq" TargetMode="External"/><Relationship Id="rId489" Type="http://schemas.openxmlformats.org/officeDocument/2006/relationships/hyperlink" Target="http://www.nsf.gov/funding/pgm_summ.jsp?pims_id=12724&amp;WT.mc_id=USNSF_39&amp;WT.mc_ev=click" TargetMode="External"/><Relationship Id="rId121" Type="http://schemas.openxmlformats.org/officeDocument/2006/relationships/hyperlink" Target="https://www.neh.gov/grants/odh/institutes-advanced-topics-in-the-digital-humanities" TargetMode="External"/><Relationship Id="rId242" Type="http://schemas.openxmlformats.org/officeDocument/2006/relationships/hyperlink" Target="http://www.nsf.gov/funding/pgm_summ.jsp?pims_id=5369&amp;org=SES" TargetMode="External"/><Relationship Id="rId363" Type="http://schemas.openxmlformats.org/officeDocument/2006/relationships/hyperlink" Target="https://www.aauw.org/resources/programs/fellowships-grants/current-opportunities/american/" TargetMode="External"/><Relationship Id="rId484" Type="http://schemas.openxmlformats.org/officeDocument/2006/relationships/hyperlink" Target="https://www.kauffman.org/grants/grantseekers/" TargetMode="External"/><Relationship Id="rId120" Type="http://schemas.openxmlformats.org/officeDocument/2006/relationships/hyperlink" Target="http://www.baylor.edu/lib/texas/index.php?id=868670" TargetMode="External"/><Relationship Id="rId241" Type="http://schemas.openxmlformats.org/officeDocument/2006/relationships/hyperlink" Target="http://nsf.gov/" TargetMode="External"/><Relationship Id="rId362" Type="http://schemas.openxmlformats.org/officeDocument/2006/relationships/hyperlink" Target="https://www.archaeological.org/grant/boochever-endowment/" TargetMode="External"/><Relationship Id="rId483" Type="http://schemas.openxmlformats.org/officeDocument/2006/relationships/hyperlink" Target="http://www.russellsage.org/how-to-apply/small-grants-behavioral-economics-apply/guidelines" TargetMode="External"/><Relationship Id="rId240" Type="http://schemas.openxmlformats.org/officeDocument/2006/relationships/hyperlink" Target="https://beta.nsf.gov/funding/opportunities/cultural-anthropology-program-senior-research" TargetMode="External"/><Relationship Id="rId361" Type="http://schemas.openxmlformats.org/officeDocument/2006/relationships/hyperlink" Target="https://www.archaeological.org/grant/the-ellen-and-charles-steinmetz-endowment-fund-for-archaeology/" TargetMode="External"/><Relationship Id="rId482" Type="http://schemas.openxmlformats.org/officeDocument/2006/relationships/hyperlink" Target="https://www.kauffman.org/grants/grantseekers/" TargetMode="External"/><Relationship Id="rId360" Type="http://schemas.openxmlformats.org/officeDocument/2006/relationships/hyperlink" Target="https://www.archaeological.org/grant/herzig-desnick-endowment/" TargetMode="External"/><Relationship Id="rId481" Type="http://schemas.openxmlformats.org/officeDocument/2006/relationships/hyperlink" Target="http://ethics.utoronto.ca/people/visiting-faculty-fellowships/" TargetMode="External"/><Relationship Id="rId125" Type="http://schemas.openxmlformats.org/officeDocument/2006/relationships/hyperlink" Target="https://sontagfoundation.org/grant-application-process/" TargetMode="External"/><Relationship Id="rId246" Type="http://schemas.openxmlformats.org/officeDocument/2006/relationships/hyperlink" Target="https://erc.europa.eu/funding/advanced-grants" TargetMode="External"/><Relationship Id="rId367" Type="http://schemas.openxmlformats.org/officeDocument/2006/relationships/hyperlink" Target="https://www.aauw.org/resources/programs/fellowships-grants/current-opportunities/american/short-term-research-publication-grants/" TargetMode="External"/><Relationship Id="rId488" Type="http://schemas.openxmlformats.org/officeDocument/2006/relationships/hyperlink" Target="https://ilas.sas.ac.uk/fellowships/visiting-fellows" TargetMode="External"/><Relationship Id="rId124" Type="http://schemas.openxmlformats.org/officeDocument/2006/relationships/hyperlink" Target="http://www.apa.org/apf/funding/sparks-early-career.aspx" TargetMode="External"/><Relationship Id="rId245" Type="http://schemas.openxmlformats.org/officeDocument/2006/relationships/hyperlink" Target="https://www.sydney.edu.au/arts/our-research/research-areas/literature-art-and-media/visiting-research-fellowship-scheme.html" TargetMode="External"/><Relationship Id="rId366" Type="http://schemas.openxmlformats.org/officeDocument/2006/relationships/hyperlink" Target="https://www.archaeological.org/grant/james-traveling-fellowship/" TargetMode="External"/><Relationship Id="rId487" Type="http://schemas.openxmlformats.org/officeDocument/2006/relationships/hyperlink" Target="https://www.nsf.gov/funding/pgm_summ.jsp?pims_id=505698" TargetMode="External"/><Relationship Id="rId123" Type="http://schemas.openxmlformats.org/officeDocument/2006/relationships/hyperlink" Target="https://www.arts.gov/grants/creative-writing-fellowships/program-description" TargetMode="External"/><Relationship Id="rId244" Type="http://schemas.openxmlformats.org/officeDocument/2006/relationships/hyperlink" Target="https://www.eifgrants.org/program-women-in-engineering" TargetMode="External"/><Relationship Id="rId365" Type="http://schemas.openxmlformats.org/officeDocument/2006/relationships/hyperlink" Target="https://www.archaeological.org/grant/archaeology-of-portugal-fellowship/" TargetMode="External"/><Relationship Id="rId486" Type="http://schemas.openxmlformats.org/officeDocument/2006/relationships/hyperlink" Target="https://beta.nsf.gov/funding/opportunities/law-science-ls" TargetMode="External"/><Relationship Id="rId122" Type="http://schemas.openxmlformats.org/officeDocument/2006/relationships/hyperlink" Target="https://www.history.ac.uk/join-ihr/fellowships" TargetMode="External"/><Relationship Id="rId243" Type="http://schemas.openxmlformats.org/officeDocument/2006/relationships/hyperlink" Target="http://www.sifoundation.org/how-to-apply-on-line/" TargetMode="External"/><Relationship Id="rId364" Type="http://schemas.openxmlformats.org/officeDocument/2006/relationships/hyperlink" Target="https://www.aarome.org/apply/rome-prize" TargetMode="External"/><Relationship Id="rId485" Type="http://schemas.openxmlformats.org/officeDocument/2006/relationships/hyperlink" Target="http://scienceandsociety.columbia.edu/files/2018/08/2018_Course-Development_Call-for-Proposals_FINAL.pdf" TargetMode="External"/><Relationship Id="rId95" Type="http://schemas.openxmlformats.org/officeDocument/2006/relationships/hyperlink" Target="https://nyscf.org/" TargetMode="External"/><Relationship Id="rId94" Type="http://schemas.openxmlformats.org/officeDocument/2006/relationships/hyperlink" Target="https://drclas.harvard.edu/apply-be-visiting-scholar" TargetMode="External"/><Relationship Id="rId97" Type="http://schemas.openxmlformats.org/officeDocument/2006/relationships/hyperlink" Target="https://warburg.sas.ac.uk/research/fellowships/funded-research-fellowships" TargetMode="External"/><Relationship Id="rId96" Type="http://schemas.openxmlformats.org/officeDocument/2006/relationships/hyperlink" Target="https://nyscf.org/programs/extramural-grants/applicants/neuroscience-investigator-awards/" TargetMode="External"/><Relationship Id="rId99" Type="http://schemas.openxmlformats.org/officeDocument/2006/relationships/hyperlink" Target="https://www.neh.gov/divisions/education/summer-programs" TargetMode="External"/><Relationship Id="rId480" Type="http://schemas.openxmlformats.org/officeDocument/2006/relationships/hyperlink" Target="https://las.depaul.edu/centers-and-institutes/depaul-humanities-center/faculty-fellowships/Pages/program-and-application.aspx" TargetMode="External"/><Relationship Id="rId98" Type="http://schemas.openxmlformats.org/officeDocument/2006/relationships/hyperlink" Target="https://www.nyfa.org/awards-grants/artist-fellowships/" TargetMode="External"/><Relationship Id="rId91" Type="http://schemas.openxmlformats.org/officeDocument/2006/relationships/hyperlink" Target="https://acorjordan.org/" TargetMode="External"/><Relationship Id="rId90" Type="http://schemas.openxmlformats.org/officeDocument/2006/relationships/hyperlink" Target="http://www.acha.org/ACHA/Foundation/FirstRisk_Award.aspx?WebsiteKey=03f1a0d5-4c58-4ff4-9b6b-764854022ac1" TargetMode="External"/><Relationship Id="rId93" Type="http://schemas.openxmlformats.org/officeDocument/2006/relationships/hyperlink" Target="https://admissions.uc.edu/apply.html" TargetMode="External"/><Relationship Id="rId92" Type="http://schemas.openxmlformats.org/officeDocument/2006/relationships/hyperlink" Target="https://acorjordan.org/neh-fellowship/" TargetMode="External"/><Relationship Id="rId118" Type="http://schemas.openxmlformats.org/officeDocument/2006/relationships/hyperlink" Target="https://www.hluce.org/programs/clare-boothe-luce-program/" TargetMode="External"/><Relationship Id="rId239" Type="http://schemas.openxmlformats.org/officeDocument/2006/relationships/hyperlink" Target="http://nsf.gov/" TargetMode="External"/><Relationship Id="rId117" Type="http://schemas.openxmlformats.org/officeDocument/2006/relationships/hyperlink" Target="http://www.ucrossfoundation.org/residency-program/" TargetMode="External"/><Relationship Id="rId238" Type="http://schemas.openxmlformats.org/officeDocument/2006/relationships/hyperlink" Target="https://www.newberry.org/short-term-fellowships" TargetMode="External"/><Relationship Id="rId359" Type="http://schemas.openxmlformats.org/officeDocument/2006/relationships/hyperlink" Target="https://www.archaeological.org/grant/macdonald-iliad-endowment/" TargetMode="External"/><Relationship Id="rId116" Type="http://schemas.openxmlformats.org/officeDocument/2006/relationships/hyperlink" Target="https://www.wilsoncenter.org/" TargetMode="External"/><Relationship Id="rId237" Type="http://schemas.openxmlformats.org/officeDocument/2006/relationships/hyperlink" Target="http://www.nsf.gov/funding/pgm_summ.jsp?pims_id=5316&amp;WT.mc_id=USNSF_39&amp;WT.mc_ev=click" TargetMode="External"/><Relationship Id="rId358" Type="http://schemas.openxmlformats.org/officeDocument/2006/relationships/hyperlink" Target="https://sarweb.org/scholars/resident/weatherhead-fellowship/" TargetMode="External"/><Relationship Id="rId479" Type="http://schemas.openxmlformats.org/officeDocument/2006/relationships/hyperlink" Target="https://www.depaul.edu/Pages/default.aspx" TargetMode="External"/><Relationship Id="rId115" Type="http://schemas.openxmlformats.org/officeDocument/2006/relationships/hyperlink" Target="https://www.aacc.org/community/awards/outstanding-scientific-achievements-by-a-young-investigator" TargetMode="External"/><Relationship Id="rId236" Type="http://schemas.openxmlformats.org/officeDocument/2006/relationships/hyperlink" Target="https://grants.nih.gov/grants/guide/pa-files/PA-21-047.html" TargetMode="External"/><Relationship Id="rId357" Type="http://schemas.openxmlformats.org/officeDocument/2006/relationships/hyperlink" Target="https://sarweb.org/" TargetMode="External"/><Relationship Id="rId478" Type="http://schemas.openxmlformats.org/officeDocument/2006/relationships/hyperlink" Target="http://www.miltonandsallyaveryartsfoundation.com/" TargetMode="External"/><Relationship Id="rId119" Type="http://schemas.openxmlformats.org/officeDocument/2006/relationships/hyperlink" Target="https://www.acls.org/competitions/henry-luce-foundation-acls-program-in-china-studies/" TargetMode="External"/><Relationship Id="rId110" Type="http://schemas.openxmlformats.org/officeDocument/2006/relationships/hyperlink" Target="https://www.apa.org/apf" TargetMode="External"/><Relationship Id="rId231" Type="http://schemas.openxmlformats.org/officeDocument/2006/relationships/hyperlink" Target="https://www.aarweb.org/AARMBR/" TargetMode="External"/><Relationship Id="rId352" Type="http://schemas.openxmlformats.org/officeDocument/2006/relationships/hyperlink" Target="https://www.cfr.org/fellowships/international-affairs-fellowship-tenured-international-relations-scholars" TargetMode="External"/><Relationship Id="rId473" Type="http://schemas.openxmlformats.org/officeDocument/2006/relationships/hyperlink" Target="https://vermontstudiocenter.org/residenciesinfo" TargetMode="External"/><Relationship Id="rId230" Type="http://schemas.openxmlformats.org/officeDocument/2006/relationships/hyperlink" Target="http://nsf.gov/" TargetMode="External"/><Relationship Id="rId351" Type="http://schemas.openxmlformats.org/officeDocument/2006/relationships/hyperlink" Target="https://www.ascsa.edu.gr/fellowships-and-grants/postdoctoral-and-senior-scholars" TargetMode="External"/><Relationship Id="rId472" Type="http://schemas.openxmlformats.org/officeDocument/2006/relationships/hyperlink" Target="http://www.sah.org/jobs-and-careers/sah-fellowships-and-grants/h-allen-brooks-travelling-fellowship" TargetMode="External"/><Relationship Id="rId350" Type="http://schemas.openxmlformats.org/officeDocument/2006/relationships/hyperlink" Target="https://baef.be/research-fellowships-us/" TargetMode="External"/><Relationship Id="rId471" Type="http://schemas.openxmlformats.org/officeDocument/2006/relationships/hyperlink" Target="http://lgbts.yale.edu/research" TargetMode="External"/><Relationship Id="rId470" Type="http://schemas.openxmlformats.org/officeDocument/2006/relationships/hyperlink" Target="http://www.austenriggs.org/erikson-scholar-program" TargetMode="External"/><Relationship Id="rId114" Type="http://schemas.openxmlformats.org/officeDocument/2006/relationships/hyperlink" Target="https://www.gottliebfoundation.org/individual-support-grant-1/" TargetMode="External"/><Relationship Id="rId235" Type="http://schemas.openxmlformats.org/officeDocument/2006/relationships/hyperlink" Target="https://www.arts.gov/grants/our-town" TargetMode="External"/><Relationship Id="rId356" Type="http://schemas.openxmlformats.org/officeDocument/2006/relationships/hyperlink" Target="https://thelawrencefoundation.org/application-process" TargetMode="External"/><Relationship Id="rId477" Type="http://schemas.openxmlformats.org/officeDocument/2006/relationships/hyperlink" Target="https://ideasimagination.columbia.edu/apply" TargetMode="External"/><Relationship Id="rId113" Type="http://schemas.openxmlformats.org/officeDocument/2006/relationships/hyperlink" Target="https://www.apa.org/apf/funding/blasey-ford" TargetMode="External"/><Relationship Id="rId234" Type="http://schemas.openxmlformats.org/officeDocument/2006/relationships/hyperlink" Target="https://www.arts.gov/" TargetMode="External"/><Relationship Id="rId355" Type="http://schemas.openxmlformats.org/officeDocument/2006/relationships/hyperlink" Target="https://www.hagley.org/research/grants-fellowships" TargetMode="External"/><Relationship Id="rId476" Type="http://schemas.openxmlformats.org/officeDocument/2006/relationships/hyperlink" Target="https://ideasimagination.columbia.edu/" TargetMode="External"/><Relationship Id="rId112" Type="http://schemas.openxmlformats.org/officeDocument/2006/relationships/hyperlink" Target="https://www.apa.org/apf" TargetMode="External"/><Relationship Id="rId233" Type="http://schemas.openxmlformats.org/officeDocument/2006/relationships/hyperlink" Target="http://arts.gov/" TargetMode="External"/><Relationship Id="rId354" Type="http://schemas.openxmlformats.org/officeDocument/2006/relationships/hyperlink" Target="https://www.nsf.gov/pubs/2020/nsf20577/nsf20577.htm" TargetMode="External"/><Relationship Id="rId475" Type="http://schemas.openxmlformats.org/officeDocument/2006/relationships/hyperlink" Target="https://plas.princeton.edu/fellowships/plas-fellowships" TargetMode="External"/><Relationship Id="rId111" Type="http://schemas.openxmlformats.org/officeDocument/2006/relationships/hyperlink" Target="https://www.apa.org/apf/funding/trauma-psychology-grant" TargetMode="External"/><Relationship Id="rId232" Type="http://schemas.openxmlformats.org/officeDocument/2006/relationships/hyperlink" Target="https://beta.nsf.gov/funding/opportunities/science-technology-studies-sts" TargetMode="External"/><Relationship Id="rId353" Type="http://schemas.openxmlformats.org/officeDocument/2006/relationships/hyperlink" Target="https://www.cfr.org/fellowships/international-affairs-fellowship" TargetMode="External"/><Relationship Id="rId474" Type="http://schemas.openxmlformats.org/officeDocument/2006/relationships/hyperlink" Target="https://www.princeton.edu/" TargetMode="External"/><Relationship Id="rId305" Type="http://schemas.openxmlformats.org/officeDocument/2006/relationships/hyperlink" Target="https://www.trumanlibraryinstitute.org/" TargetMode="External"/><Relationship Id="rId426" Type="http://schemas.openxmlformats.org/officeDocument/2006/relationships/hyperlink" Target="https://grammymuseum.org/" TargetMode="External"/><Relationship Id="rId547" Type="http://schemas.openxmlformats.org/officeDocument/2006/relationships/hyperlink" Target="https://www.sas.rochester.edu/humanities/fellowships/index.html" TargetMode="External"/><Relationship Id="rId304" Type="http://schemas.openxmlformats.org/officeDocument/2006/relationships/hyperlink" Target="https://www.nsf.gov/funding/pgm_summ.jsp?pims_id=5434&amp;org=DMS&amp;sel_org=DMS&amp;from=fund" TargetMode="External"/><Relationship Id="rId425" Type="http://schemas.openxmlformats.org/officeDocument/2006/relationships/hyperlink" Target="https://www.neh.gov/grants/preservation/preservation-and-access-education-and-training" TargetMode="External"/><Relationship Id="rId546" Type="http://schemas.openxmlformats.org/officeDocument/2006/relationships/hyperlink" Target="https://rochester.edu/" TargetMode="External"/><Relationship Id="rId303" Type="http://schemas.openxmlformats.org/officeDocument/2006/relationships/hyperlink" Target="https://www.nsf.gov/funding/pgm_summ.jsp?pims_id=505537" TargetMode="External"/><Relationship Id="rId424" Type="http://schemas.openxmlformats.org/officeDocument/2006/relationships/hyperlink" Target="https://www.neh.gov/" TargetMode="External"/><Relationship Id="rId545" Type="http://schemas.openxmlformats.org/officeDocument/2006/relationships/hyperlink" Target="https://www.rsa.org/page/KressFellowships" TargetMode="External"/><Relationship Id="rId302" Type="http://schemas.openxmlformats.org/officeDocument/2006/relationships/hyperlink" Target="http://www.apa.org/apf/funding/walfish.aspx" TargetMode="External"/><Relationship Id="rId423" Type="http://schemas.openxmlformats.org/officeDocument/2006/relationships/hyperlink" Target="https://www.neh.gov/grants/preservation/national-digital-newspaper-program" TargetMode="External"/><Relationship Id="rId544" Type="http://schemas.openxmlformats.org/officeDocument/2006/relationships/hyperlink" Target="https://www.rsa.org/page/aboutus" TargetMode="External"/><Relationship Id="rId309" Type="http://schemas.openxmlformats.org/officeDocument/2006/relationships/hyperlink" Target="https://bibsocamer.org/awards/fellowships/" TargetMode="External"/><Relationship Id="rId308" Type="http://schemas.openxmlformats.org/officeDocument/2006/relationships/hyperlink" Target="https://bibsocamer.org/" TargetMode="External"/><Relationship Id="rId429" Type="http://schemas.openxmlformats.org/officeDocument/2006/relationships/hyperlink" Target="https://www.wabashcenter.wabash.edu/wabash-grants/project-grants/" TargetMode="External"/><Relationship Id="rId307" Type="http://schemas.openxmlformats.org/officeDocument/2006/relationships/hyperlink" Target="https://kellogg.nd.edu/opportunities/visiting-faculty/about-our-visiting-fellowships" TargetMode="External"/><Relationship Id="rId428" Type="http://schemas.openxmlformats.org/officeDocument/2006/relationships/hyperlink" Target="https://www.wabashcenter.wabash.edu/" TargetMode="External"/><Relationship Id="rId549" Type="http://schemas.openxmlformats.org/officeDocument/2006/relationships/hyperlink" Target="https://www.ala.org/rt/gamert/will-eisner-graphic-novel-grants-libraries" TargetMode="External"/><Relationship Id="rId306" Type="http://schemas.openxmlformats.org/officeDocument/2006/relationships/hyperlink" Target="https://www.trumanlibraryinstitute.org/research-grants/research-grants/" TargetMode="External"/><Relationship Id="rId427" Type="http://schemas.openxmlformats.org/officeDocument/2006/relationships/hyperlink" Target="https://grammymuseum.org/national-reach/grant-program/" TargetMode="External"/><Relationship Id="rId548" Type="http://schemas.openxmlformats.org/officeDocument/2006/relationships/hyperlink" Target="https://www.ala.org/rt/gamert" TargetMode="External"/><Relationship Id="rId301" Type="http://schemas.openxmlformats.org/officeDocument/2006/relationships/hyperlink" Target="https://www.apa.org/apf/funding/peterson-homer?tab=2" TargetMode="External"/><Relationship Id="rId422" Type="http://schemas.openxmlformats.org/officeDocument/2006/relationships/hyperlink" Target="https://www.neh.gov/" TargetMode="External"/><Relationship Id="rId543" Type="http://schemas.openxmlformats.org/officeDocument/2006/relationships/hyperlink" Target="https://www.doaks.org/research/mellon-initiatives/plant-humanities-initiative/faculty-residencies" TargetMode="External"/><Relationship Id="rId300" Type="http://schemas.openxmlformats.org/officeDocument/2006/relationships/hyperlink" Target="https://www.nsf.gov/funding/pgm_summ.jsp?pims_id=505667" TargetMode="External"/><Relationship Id="rId421" Type="http://schemas.openxmlformats.org/officeDocument/2006/relationships/hyperlink" Target="https://www.neh.gov/grants/preservation/sustaining-cultural-heritage-collections" TargetMode="External"/><Relationship Id="rId542" Type="http://schemas.openxmlformats.org/officeDocument/2006/relationships/hyperlink" Target="https://www.doaks.org/" TargetMode="External"/><Relationship Id="rId420" Type="http://schemas.openxmlformats.org/officeDocument/2006/relationships/hyperlink" Target="https://www.neh.gov/" TargetMode="External"/><Relationship Id="rId541" Type="http://schemas.openxmlformats.org/officeDocument/2006/relationships/hyperlink" Target="https://www.virginiahistory.org/collections-and-resources/how-we-can-help-your-research/researcher-resources/research-support" TargetMode="External"/><Relationship Id="rId540" Type="http://schemas.openxmlformats.org/officeDocument/2006/relationships/hyperlink" Target="https://www.apa.org/about/awards/div-2-international-travel" TargetMode="External"/><Relationship Id="rId415" Type="http://schemas.openxmlformats.org/officeDocument/2006/relationships/hyperlink" Target="https://www.acls.org/competitions/acls-digital-justice-seed-grants/" TargetMode="External"/><Relationship Id="rId536" Type="http://schemas.openxmlformats.org/officeDocument/2006/relationships/hyperlink" Target="https://www.crassh.cam.ac.uk/opportunities/" TargetMode="External"/><Relationship Id="rId414" Type="http://schemas.openxmlformats.org/officeDocument/2006/relationships/hyperlink" Target="https://www.acls.org/" TargetMode="External"/><Relationship Id="rId535" Type="http://schemas.openxmlformats.org/officeDocument/2006/relationships/hyperlink" Target="https://www.templeton.org/internal-competiton-fund/academic-cross-training-fellowship" TargetMode="External"/><Relationship Id="rId413" Type="http://schemas.openxmlformats.org/officeDocument/2006/relationships/hyperlink" Target="https://www.gottliebfoundation.org/individual-support-grant-1/" TargetMode="External"/><Relationship Id="rId534" Type="http://schemas.openxmlformats.org/officeDocument/2006/relationships/hyperlink" Target="https://www.templeton.org/" TargetMode="External"/><Relationship Id="rId412" Type="http://schemas.openxmlformats.org/officeDocument/2006/relationships/hyperlink" Target="https://www.gottliebfoundation.org/" TargetMode="External"/><Relationship Id="rId533" Type="http://schemas.openxmlformats.org/officeDocument/2006/relationships/hyperlink" Target="https://artomi.org/residencies/writers" TargetMode="External"/><Relationship Id="rId419" Type="http://schemas.openxmlformats.org/officeDocument/2006/relationships/hyperlink" Target="https://library.uoregon.edu/special-collections/le-guin-fellowship" TargetMode="External"/><Relationship Id="rId418" Type="http://schemas.openxmlformats.org/officeDocument/2006/relationships/hyperlink" Target="https://library.uoregon.edu/" TargetMode="External"/><Relationship Id="rId539" Type="http://schemas.openxmlformats.org/officeDocument/2006/relationships/hyperlink" Target="https://www.radcliffe.harvard.edu/opportunities-for-researchers" TargetMode="External"/><Relationship Id="rId417" Type="http://schemas.openxmlformats.org/officeDocument/2006/relationships/hyperlink" Target="https://www.acls.org/competitions/acls-digital-justice-development-grants/" TargetMode="External"/><Relationship Id="rId538" Type="http://schemas.openxmlformats.org/officeDocument/2006/relationships/hyperlink" Target="https://www.okeeffemuseum.org/research-center/fellowship-program/" TargetMode="External"/><Relationship Id="rId416" Type="http://schemas.openxmlformats.org/officeDocument/2006/relationships/hyperlink" Target="https://www.acls.org/" TargetMode="External"/><Relationship Id="rId537" Type="http://schemas.openxmlformats.org/officeDocument/2006/relationships/hyperlink" Target="https://www.rockefellerfoundation.org/bellagio-center/residency-program/general-open-call-residency/" TargetMode="External"/><Relationship Id="rId411" Type="http://schemas.openxmlformats.org/officeDocument/2006/relationships/hyperlink" Target="http://sites.duke.edu/broadfoundation/extramural-award-application/" TargetMode="External"/><Relationship Id="rId532" Type="http://schemas.openxmlformats.org/officeDocument/2006/relationships/hyperlink" Target="https://www.obama.org/fellowship/apply/" TargetMode="External"/><Relationship Id="rId410" Type="http://schemas.openxmlformats.org/officeDocument/2006/relationships/hyperlink" Target="https://www.neafoundation.org/for-educators/learning-and-leadership-grants/" TargetMode="External"/><Relationship Id="rId531" Type="http://schemas.openxmlformats.org/officeDocument/2006/relationships/hyperlink" Target="https://stonecenter.tulane.edu/pages/detail/463/Richard-E.-Greenleaf-Scholar-in-Residence" TargetMode="External"/><Relationship Id="rId530" Type="http://schemas.openxmlformats.org/officeDocument/2006/relationships/hyperlink" Target="https://tulane.edu/" TargetMode="External"/><Relationship Id="rId206" Type="http://schemas.openxmlformats.org/officeDocument/2006/relationships/hyperlink" Target="https://www.ensembletheaters.net/net-grant-programs" TargetMode="External"/><Relationship Id="rId327" Type="http://schemas.openxmlformats.org/officeDocument/2006/relationships/hyperlink" Target="https://www.paul-mellon-centre.ac.uk/" TargetMode="External"/><Relationship Id="rId448" Type="http://schemas.openxmlformats.org/officeDocument/2006/relationships/hyperlink" Target="https://www.neh.gov/about" TargetMode="External"/><Relationship Id="rId569" Type="http://schemas.openxmlformats.org/officeDocument/2006/relationships/hyperlink" Target="https://leonlevyfoundation.org/" TargetMode="External"/><Relationship Id="rId205" Type="http://schemas.openxmlformats.org/officeDocument/2006/relationships/hyperlink" Target="https://www.documentary.org/parelorentz" TargetMode="External"/><Relationship Id="rId326" Type="http://schemas.openxmlformats.org/officeDocument/2006/relationships/hyperlink" Target="https://artisttrust.org/awards/grants-for-artist-projects/" TargetMode="External"/><Relationship Id="rId447" Type="http://schemas.openxmlformats.org/officeDocument/2006/relationships/hyperlink" Target="https://beta.nsf.gov/funding/opportunities/secure-and-trustworthy-cyberspace-satc" TargetMode="External"/><Relationship Id="rId568" Type="http://schemas.openxmlformats.org/officeDocument/2006/relationships/hyperlink" Target="https://www.imls.gov/grants/available/laura-bush-21st-century-librarian-program" TargetMode="External"/><Relationship Id="rId204" Type="http://schemas.openxmlformats.org/officeDocument/2006/relationships/hyperlink" Target="http://www.documentary.org/funding/pare-lorentz-doc-fund" TargetMode="External"/><Relationship Id="rId325" Type="http://schemas.openxmlformats.org/officeDocument/2006/relationships/hyperlink" Target="http://grants.nih.gov/grants/funding/r01.htm" TargetMode="External"/><Relationship Id="rId446" Type="http://schemas.openxmlformats.org/officeDocument/2006/relationships/hyperlink" Target="https://beta.nsf.gov/" TargetMode="External"/><Relationship Id="rId567" Type="http://schemas.openxmlformats.org/officeDocument/2006/relationships/hyperlink" Target="https://www.imls.gov/" TargetMode="External"/><Relationship Id="rId203" Type="http://schemas.openxmlformats.org/officeDocument/2006/relationships/hyperlink" Target="https://www.neh.gov/grants/odh/institutes-advanced-topics-in-the-digital-humanities" TargetMode="External"/><Relationship Id="rId324" Type="http://schemas.openxmlformats.org/officeDocument/2006/relationships/hyperlink" Target="https://www.studyabroad.americancouncils.org/rsp" TargetMode="External"/><Relationship Id="rId445" Type="http://schemas.openxmlformats.org/officeDocument/2006/relationships/hyperlink" Target="https://www.neh.gov/grants/preservation/preservation-and-access-education-and-training" TargetMode="External"/><Relationship Id="rId566" Type="http://schemas.openxmlformats.org/officeDocument/2006/relationships/hyperlink" Target="https://georgianpapers.com/" TargetMode="External"/><Relationship Id="rId209" Type="http://schemas.openxmlformats.org/officeDocument/2006/relationships/hyperlink" Target="https://www.acs.org/content/acs/en/funding-and-awards/grants/acscommunity.html?_ga=2.200502508.330963792.1510336090-405814502.1510336090" TargetMode="External"/><Relationship Id="rId208" Type="http://schemas.openxmlformats.org/officeDocument/2006/relationships/hyperlink" Target="https://www.aaas.org/page/aaas-early-career-award-public-engagement-science" TargetMode="External"/><Relationship Id="rId329" Type="http://schemas.openxmlformats.org/officeDocument/2006/relationships/hyperlink" Target="http://neh.gov/" TargetMode="External"/><Relationship Id="rId207" Type="http://schemas.openxmlformats.org/officeDocument/2006/relationships/hyperlink" Target="https://www.hfsp.org/funding/hfsp-funding/research-grants" TargetMode="External"/><Relationship Id="rId328" Type="http://schemas.openxmlformats.org/officeDocument/2006/relationships/hyperlink" Target="https://www.paul-mellon-centre.ac.uk/fellowships-and-grants/publication-grants" TargetMode="External"/><Relationship Id="rId449" Type="http://schemas.openxmlformats.org/officeDocument/2006/relationships/hyperlink" Target="https://www.neh.gov/grants/preservation/research-and-development" TargetMode="External"/><Relationship Id="rId440" Type="http://schemas.openxmlformats.org/officeDocument/2006/relationships/hyperlink" Target="https://www.neh.gov/about" TargetMode="External"/><Relationship Id="rId561" Type="http://schemas.openxmlformats.org/officeDocument/2006/relationships/hyperlink" Target="https://www.imls.gov/grants/available/community-catalyst-initiative" TargetMode="External"/><Relationship Id="rId560" Type="http://schemas.openxmlformats.org/officeDocument/2006/relationships/hyperlink" Target="https://www.imls.gov/" TargetMode="External"/><Relationship Id="rId202" Type="http://schemas.openxmlformats.org/officeDocument/2006/relationships/hyperlink" Target="https://www.neh.gov/grants/public/digital-projects-the-public" TargetMode="External"/><Relationship Id="rId323" Type="http://schemas.openxmlformats.org/officeDocument/2006/relationships/hyperlink" Target="http://www.acresearchabroad.org/" TargetMode="External"/><Relationship Id="rId444" Type="http://schemas.openxmlformats.org/officeDocument/2006/relationships/hyperlink" Target="https://www.neh.gov/about" TargetMode="External"/><Relationship Id="rId565" Type="http://schemas.openxmlformats.org/officeDocument/2006/relationships/hyperlink" Target="http://www.asia-europe.uni-heidelberg.de/en/institute/hcts-fellows.html" TargetMode="External"/><Relationship Id="rId201" Type="http://schemas.openxmlformats.org/officeDocument/2006/relationships/hyperlink" Target="https://www.neh.gov/program/dli-del-fellowships" TargetMode="External"/><Relationship Id="rId322" Type="http://schemas.openxmlformats.org/officeDocument/2006/relationships/hyperlink" Target="http://www.nsf.gov/funding/pgm_summ.jsp?pims_id=5437&amp;org=SES&amp;from=home" TargetMode="External"/><Relationship Id="rId443" Type="http://schemas.openxmlformats.org/officeDocument/2006/relationships/hyperlink" Target="https://beta.nsf.gov/funding/opportunities/human-networks-and-data-science-hnds" TargetMode="External"/><Relationship Id="rId564" Type="http://schemas.openxmlformats.org/officeDocument/2006/relationships/hyperlink" Target="https://www.sparkplugfoundation.org/apply/" TargetMode="External"/><Relationship Id="rId200" Type="http://schemas.openxmlformats.org/officeDocument/2006/relationships/hyperlink" Target="https://www.russellsage.org/how-to-apply/visiting-scholars-program" TargetMode="External"/><Relationship Id="rId321" Type="http://schemas.openxmlformats.org/officeDocument/2006/relationships/hyperlink" Target="http://nsf.gov/" TargetMode="External"/><Relationship Id="rId442" Type="http://schemas.openxmlformats.org/officeDocument/2006/relationships/hyperlink" Target="https://beta.nsf.gov/" TargetMode="External"/><Relationship Id="rId563" Type="http://schemas.openxmlformats.org/officeDocument/2006/relationships/hyperlink" Target="https://www.sparkplugfoundation.org/" TargetMode="External"/><Relationship Id="rId320" Type="http://schemas.openxmlformats.org/officeDocument/2006/relationships/hyperlink" Target="http://www.nsf.gov/funding/pgm_summ.jsp?pims_id=5423" TargetMode="External"/><Relationship Id="rId441" Type="http://schemas.openxmlformats.org/officeDocument/2006/relationships/hyperlink" Target="https://www.neh.gov/grants/preservation/research-and-development" TargetMode="External"/><Relationship Id="rId562" Type="http://schemas.openxmlformats.org/officeDocument/2006/relationships/hyperlink" Target="https://www.nypl.org/help/about-nypl/fellowships-institutes/schomburg-center-scholars-in-residency" TargetMode="External"/><Relationship Id="rId316" Type="http://schemas.openxmlformats.org/officeDocument/2006/relationships/hyperlink" Target="http://shc.stanford.edu/fellowships/non-stanford-faculty" TargetMode="External"/><Relationship Id="rId437" Type="http://schemas.openxmlformats.org/officeDocument/2006/relationships/hyperlink" Target="https://botstiberbiaas.org/funding-opportunities/biaas-fellowships-grants/" TargetMode="External"/><Relationship Id="rId558" Type="http://schemas.openxmlformats.org/officeDocument/2006/relationships/hyperlink" Target="https://www.whiting.org/" TargetMode="External"/><Relationship Id="rId315" Type="http://schemas.openxmlformats.org/officeDocument/2006/relationships/hyperlink" Target="https://www.sigmaxi.org/programs/grants-in-aid" TargetMode="External"/><Relationship Id="rId436" Type="http://schemas.openxmlformats.org/officeDocument/2006/relationships/hyperlink" Target="https://botstiberbiaas.org/" TargetMode="External"/><Relationship Id="rId557" Type="http://schemas.openxmlformats.org/officeDocument/2006/relationships/hyperlink" Target="https://arts.ny.gov/programs/literature" TargetMode="External"/><Relationship Id="rId314" Type="http://schemas.openxmlformats.org/officeDocument/2006/relationships/hyperlink" Target="https://www.sigmaxi.org/home" TargetMode="External"/><Relationship Id="rId435" Type="http://schemas.openxmlformats.org/officeDocument/2006/relationships/hyperlink" Target="http://www.neh.gov/divisions/education/summer-programs" TargetMode="External"/><Relationship Id="rId556" Type="http://schemas.openxmlformats.org/officeDocument/2006/relationships/hyperlink" Target="https://arts.ny.gov/our-mission" TargetMode="External"/><Relationship Id="rId313" Type="http://schemas.openxmlformats.org/officeDocument/2006/relationships/hyperlink" Target="https://humanitiesny.org/our-work/action-grants/" TargetMode="External"/><Relationship Id="rId434" Type="http://schemas.openxmlformats.org/officeDocument/2006/relationships/hyperlink" Target="https://librarycompany.org/" TargetMode="External"/><Relationship Id="rId555" Type="http://schemas.openxmlformats.org/officeDocument/2006/relationships/hyperlink" Target="http://www.apa.org/apf/funding/pearson.aspx" TargetMode="External"/><Relationship Id="rId319" Type="http://schemas.openxmlformats.org/officeDocument/2006/relationships/hyperlink" Target="http://nsf.gov/" TargetMode="External"/><Relationship Id="rId318" Type="http://schemas.openxmlformats.org/officeDocument/2006/relationships/hyperlink" Target="http://www.getty.edu/foundation/initiatives/residential/getty_pre_postdoctoral_fellowships.html" TargetMode="External"/><Relationship Id="rId439" Type="http://schemas.openxmlformats.org/officeDocument/2006/relationships/hyperlink" Target="http://www.apa.org/apf/funding/gralnick.aspx" TargetMode="External"/><Relationship Id="rId317" Type="http://schemas.openxmlformats.org/officeDocument/2006/relationships/hyperlink" Target="http://www.getty.edu/foundation/" TargetMode="External"/><Relationship Id="rId438" Type="http://schemas.openxmlformats.org/officeDocument/2006/relationships/hyperlink" Target="http://www.bfny.org/en/apply" TargetMode="External"/><Relationship Id="rId559" Type="http://schemas.openxmlformats.org/officeDocument/2006/relationships/hyperlink" Target="https://www.whiting.org/writers/whiting-literary-magazine-prizes" TargetMode="External"/><Relationship Id="rId550" Type="http://schemas.openxmlformats.org/officeDocument/2006/relationships/hyperlink" Target="https://www.acls.org/About/Our-Work" TargetMode="External"/><Relationship Id="rId312" Type="http://schemas.openxmlformats.org/officeDocument/2006/relationships/hyperlink" Target="https://www.fordlibrarymuseum.gov/library/foundationgrants.asp" TargetMode="External"/><Relationship Id="rId433" Type="http://schemas.openxmlformats.org/officeDocument/2006/relationships/hyperlink" Target="https://beta.nsf.gov/funding/opportunities/ethical-and-responsible-research-er2" TargetMode="External"/><Relationship Id="rId554" Type="http://schemas.openxmlformats.org/officeDocument/2006/relationships/hyperlink" Target="https://kinshipfellows.org/program/" TargetMode="External"/><Relationship Id="rId311" Type="http://schemas.openxmlformats.org/officeDocument/2006/relationships/hyperlink" Target="https://www.daad.org/en/find-funding/faculty/re-invitation-grant/" TargetMode="External"/><Relationship Id="rId432" Type="http://schemas.openxmlformats.org/officeDocument/2006/relationships/hyperlink" Target="https://beta.nsf.gov/funding/opportunities/accountable-institutions-and-behavior-aib" TargetMode="External"/><Relationship Id="rId553" Type="http://schemas.openxmlformats.org/officeDocument/2006/relationships/hyperlink" Target="https://www.queer-art.org/giard-grant" TargetMode="External"/><Relationship Id="rId310" Type="http://schemas.openxmlformats.org/officeDocument/2006/relationships/hyperlink" Target="https://www.daad.org/en/" TargetMode="External"/><Relationship Id="rId431" Type="http://schemas.openxmlformats.org/officeDocument/2006/relationships/hyperlink" Target="https://beta.nsf.gov/funding/opportunities/decision-risk-and-management-sciences-drms" TargetMode="External"/><Relationship Id="rId552" Type="http://schemas.openxmlformats.org/officeDocument/2006/relationships/hyperlink" Target="https://ircpl.columbia.edu/2018/01/09/columbia-center-for-the-study-of-social-difference-call-for-proposals/" TargetMode="External"/><Relationship Id="rId430" Type="http://schemas.openxmlformats.org/officeDocument/2006/relationships/hyperlink" Target="https://klingenstein.org/esther-a-joseph-klingenstein-fund/neuroscience/applying/" TargetMode="External"/><Relationship Id="rId551" Type="http://schemas.openxmlformats.org/officeDocument/2006/relationships/hyperlink" Target="https://www.acls.org/Competitions-and-Deadlines/ACLS-Fellowship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0.86"/>
    <col customWidth="1" min="2" max="2" width="26.71"/>
    <col customWidth="1" min="3" max="3" width="12.71"/>
    <col customWidth="1" min="4" max="4" width="38.29"/>
    <col customWidth="1" min="5" max="5" width="15.29"/>
    <col customWidth="1" min="6" max="6" width="13.43"/>
    <col customWidth="1" min="7" max="7" width="11.43"/>
    <col customWidth="1" min="8" max="8" width="25.29"/>
    <col customWidth="1" min="9" max="9" width="65.57"/>
  </cols>
  <sheetData>
    <row r="1">
      <c r="A1" s="1" t="s">
        <v>0</v>
      </c>
      <c r="B1" s="2" t="s">
        <v>1</v>
      </c>
      <c r="C1" s="3" t="s">
        <v>2</v>
      </c>
      <c r="D1" s="1" t="s">
        <v>3</v>
      </c>
      <c r="E1" s="3" t="s">
        <v>4</v>
      </c>
      <c r="F1" s="3" t="s">
        <v>5</v>
      </c>
      <c r="G1" s="3" t="s">
        <v>6</v>
      </c>
      <c r="H1" s="3" t="s">
        <v>7</v>
      </c>
      <c r="I1" s="4" t="s">
        <v>8</v>
      </c>
      <c r="J1" s="5"/>
    </row>
    <row r="2" hidden="1">
      <c r="A2" s="6" t="s">
        <v>9</v>
      </c>
      <c r="B2" s="7" t="str">
        <f>HYPERLINK("https://presidentialscholars.columbia.edu/","Columbia Presidential Scholars")</f>
        <v>Columbia Presidential Scholars</v>
      </c>
      <c r="C2" s="8" t="s">
        <v>10</v>
      </c>
      <c r="D2" s="7" t="str">
        <f>HYPERLINK("http://presidentialscholars.columbia.edu/loi-seed-grants-2018/","Faculty Seed Grants for Interdisciplinary Projects in Society and Neuroscience")</f>
        <v>Faculty Seed Grants for Interdisciplinary Projects in Society and Neuroscience</v>
      </c>
      <c r="E2" s="9" t="s">
        <v>11</v>
      </c>
      <c r="F2" s="9"/>
      <c r="G2" s="10" t="s">
        <v>12</v>
      </c>
      <c r="H2" s="10" t="s">
        <v>13</v>
      </c>
      <c r="I2" s="11" t="s">
        <v>14</v>
      </c>
      <c r="J2" s="5"/>
    </row>
    <row r="3">
      <c r="A3" s="12">
        <v>45073.0</v>
      </c>
      <c r="B3" s="13" t="s">
        <v>15</v>
      </c>
      <c r="C3" s="14" t="s">
        <v>16</v>
      </c>
      <c r="D3" s="13" t="s">
        <v>15</v>
      </c>
      <c r="E3" s="6" t="s">
        <v>17</v>
      </c>
      <c r="F3" s="15"/>
      <c r="G3" s="15"/>
      <c r="H3" s="9"/>
      <c r="I3" s="16" t="s">
        <v>18</v>
      </c>
      <c r="J3" s="5"/>
    </row>
    <row r="4">
      <c r="A4" s="12">
        <v>45182.0</v>
      </c>
      <c r="B4" s="13" t="s">
        <v>19</v>
      </c>
      <c r="C4" s="14" t="s">
        <v>16</v>
      </c>
      <c r="D4" s="13" t="s">
        <v>20</v>
      </c>
      <c r="E4" s="6" t="s">
        <v>17</v>
      </c>
      <c r="F4" s="15"/>
      <c r="G4" s="15"/>
      <c r="H4" s="9"/>
      <c r="I4" s="16" t="s">
        <v>21</v>
      </c>
      <c r="J4" s="5"/>
    </row>
    <row r="5">
      <c r="A5" s="12">
        <v>45077.0</v>
      </c>
      <c r="B5" s="13" t="s">
        <v>22</v>
      </c>
      <c r="C5" s="14" t="s">
        <v>16</v>
      </c>
      <c r="D5" s="13" t="s">
        <v>23</v>
      </c>
      <c r="E5" s="6" t="s">
        <v>24</v>
      </c>
      <c r="F5" s="15"/>
      <c r="G5" s="15"/>
      <c r="H5" s="9"/>
      <c r="I5" s="16" t="s">
        <v>25</v>
      </c>
      <c r="J5" s="5"/>
    </row>
    <row r="6">
      <c r="A6" s="12">
        <v>44896.0</v>
      </c>
      <c r="B6" s="13" t="s">
        <v>26</v>
      </c>
      <c r="C6" s="14" t="s">
        <v>16</v>
      </c>
      <c r="D6" s="13" t="s">
        <v>27</v>
      </c>
      <c r="E6" s="6" t="s">
        <v>17</v>
      </c>
      <c r="F6" s="15"/>
      <c r="G6" s="15"/>
      <c r="H6" s="9"/>
      <c r="I6" s="16" t="s">
        <v>28</v>
      </c>
      <c r="J6" s="5"/>
    </row>
    <row r="7">
      <c r="A7" s="12">
        <v>44817.0</v>
      </c>
      <c r="B7" s="13" t="s">
        <v>29</v>
      </c>
      <c r="C7" s="14" t="s">
        <v>30</v>
      </c>
      <c r="D7" s="13" t="s">
        <v>31</v>
      </c>
      <c r="E7" s="6" t="s">
        <v>17</v>
      </c>
      <c r="F7" s="15"/>
      <c r="G7" s="15"/>
      <c r="H7" s="9"/>
      <c r="I7" s="16" t="s">
        <v>32</v>
      </c>
      <c r="J7" s="5"/>
    </row>
    <row r="8">
      <c r="A8" s="12">
        <v>44810.0</v>
      </c>
      <c r="B8" s="7" t="str">
        <f>HYPERLINK("https://www.caorc.org/","Council of American Overseas Research Centers (CAORC)")</f>
        <v>Council of American Overseas Research Centers (CAORC)</v>
      </c>
      <c r="C8" s="8" t="s">
        <v>16</v>
      </c>
      <c r="D8" s="17" t="s">
        <v>33</v>
      </c>
      <c r="E8" s="18" t="s">
        <v>24</v>
      </c>
      <c r="F8" s="15" t="s">
        <v>34</v>
      </c>
      <c r="G8" s="15" t="s">
        <v>35</v>
      </c>
      <c r="H8" s="9"/>
      <c r="I8" s="16" t="s">
        <v>36</v>
      </c>
      <c r="J8" s="5"/>
    </row>
    <row r="9">
      <c r="A9" s="19">
        <v>45016.0</v>
      </c>
      <c r="B9" s="7" t="str">
        <f>HYPERLINK("https://ircpl.columbia.edu/","Institute for Religion, Culture, and Public Life, Columbia Universtiy")</f>
        <v>Institute for Religion, Culture, and Public Life, Columbia Universtiy</v>
      </c>
      <c r="C9" s="8" t="s">
        <v>10</v>
      </c>
      <c r="D9" s="20" t="str">
        <f>HYPERLINK("https://www.ircpl.columbia.edu/joint-projects-apply","Joint Projects")</f>
        <v>Joint Projects</v>
      </c>
      <c r="E9" s="9" t="s">
        <v>37</v>
      </c>
      <c r="F9" s="9" t="s">
        <v>38</v>
      </c>
      <c r="G9" s="10"/>
      <c r="H9" s="10"/>
      <c r="I9" s="11" t="s">
        <v>39</v>
      </c>
      <c r="J9" s="5"/>
    </row>
    <row r="10">
      <c r="A10" s="21">
        <v>45197.0</v>
      </c>
      <c r="B10" s="22" t="s">
        <v>40</v>
      </c>
      <c r="C10" s="14" t="s">
        <v>41</v>
      </c>
      <c r="D10" s="22" t="s">
        <v>42</v>
      </c>
      <c r="E10" s="6" t="s">
        <v>43</v>
      </c>
      <c r="F10" s="9"/>
      <c r="G10" s="9"/>
      <c r="H10" s="23"/>
      <c r="I10" s="16" t="s">
        <v>44</v>
      </c>
      <c r="J10" s="5"/>
    </row>
    <row r="11">
      <c r="A11" s="21">
        <v>45261.0</v>
      </c>
      <c r="B11" s="7" t="str">
        <f>HYPERLINK("https://dff.dk/en","Independent Research Fund Denmark")</f>
        <v>Independent Research Fund Denmark</v>
      </c>
      <c r="C11" s="8" t="s">
        <v>16</v>
      </c>
      <c r="D11" s="24" t="str">
        <f>HYPERLINK("https://dff.dk/en/application/overview-of-instruments","Sapere Aude Starting Grant")</f>
        <v>Sapere Aude Starting Grant</v>
      </c>
      <c r="E11" s="18" t="s">
        <v>45</v>
      </c>
      <c r="F11" s="9" t="s">
        <v>46</v>
      </c>
      <c r="G11" s="9" t="s">
        <v>47</v>
      </c>
      <c r="H11" s="23"/>
      <c r="I11" s="16" t="s">
        <v>48</v>
      </c>
      <c r="J11" s="5"/>
    </row>
    <row r="12">
      <c r="A12" s="19">
        <v>45019.0</v>
      </c>
      <c r="B12" s="7" t="str">
        <f>HYPERLINK("http://www.quaibranly.fr","Musee de Quai Branly")</f>
        <v>Musee de Quai Branly</v>
      </c>
      <c r="C12" s="8" t="s">
        <v>49</v>
      </c>
      <c r="D12" s="17" t="s">
        <v>50</v>
      </c>
      <c r="E12" s="18" t="s">
        <v>45</v>
      </c>
      <c r="F12" s="9" t="s">
        <v>51</v>
      </c>
      <c r="G12" s="9" t="s">
        <v>52</v>
      </c>
      <c r="H12" s="25" t="s">
        <v>53</v>
      </c>
      <c r="I12" s="16" t="s">
        <v>54</v>
      </c>
      <c r="J12" s="5"/>
    </row>
    <row r="13">
      <c r="A13" s="6">
        <v>404.0</v>
      </c>
      <c r="B13" s="7" t="str">
        <f>HYPERLINK("http://turkishstudies.org/index.shtml","Institute of Turkish Studies")</f>
        <v>Institute of Turkish Studies</v>
      </c>
      <c r="C13" s="8" t="s">
        <v>10</v>
      </c>
      <c r="D13" s="7" t="str">
        <f>HYPERLINK("http://turkishstudies.org/grants/grants_competition.shtml","Grants in Turkish and Ottoman Studies for Publication of Scholarly Books and Journals, Academic Conferences, and Teaching Aids")</f>
        <v>Grants in Turkish and Ottoman Studies for Publication of Scholarly Books and Journals, Academic Conferences, and Teaching Aids</v>
      </c>
      <c r="E13" s="18" t="s">
        <v>55</v>
      </c>
      <c r="F13" s="9" t="s">
        <v>56</v>
      </c>
      <c r="G13" s="9"/>
      <c r="H13" s="9" t="s">
        <v>57</v>
      </c>
      <c r="I13" s="16" t="s">
        <v>58</v>
      </c>
      <c r="J13" s="5"/>
    </row>
    <row r="14" hidden="1">
      <c r="A14" s="6" t="s">
        <v>9</v>
      </c>
      <c r="B14" s="7" t="str">
        <f>HYPERLINK("https://www.roddenberryprize.org/","Roddenberry Prize")</f>
        <v>Roddenberry Prize</v>
      </c>
      <c r="C14" s="8" t="s">
        <v>16</v>
      </c>
      <c r="D14" s="7" t="str">
        <f>HYPERLINK("https://www.roddenberryprize.org/","Roddenberry Prize")</f>
        <v>Roddenberry Prize</v>
      </c>
      <c r="E14" s="18" t="s">
        <v>45</v>
      </c>
      <c r="F14" s="9" t="s">
        <v>59</v>
      </c>
      <c r="G14" s="26"/>
      <c r="H14" s="23">
        <v>250000.0</v>
      </c>
      <c r="I14" s="16" t="s">
        <v>60</v>
      </c>
      <c r="J14" s="5"/>
    </row>
    <row r="15">
      <c r="A15" s="19">
        <v>45031.0</v>
      </c>
      <c r="B15" s="7" t="str">
        <f>HYPERLINK("http://www.congregationallibrary.org/","Congregational Library")</f>
        <v>Congregational Library</v>
      </c>
      <c r="C15" s="8" t="s">
        <v>16</v>
      </c>
      <c r="D15" s="7" t="str">
        <f>HYPERLINK("http://www.congregationallibrary.org/researchers/research-scholarships","Boston Athenæum Fellowship")</f>
        <v>Boston Athenæum Fellowship</v>
      </c>
      <c r="E15" s="18" t="s">
        <v>61</v>
      </c>
      <c r="F15" s="9" t="s">
        <v>34</v>
      </c>
      <c r="G15" s="9"/>
      <c r="H15" s="9" t="s">
        <v>62</v>
      </c>
      <c r="I15" s="27" t="s">
        <v>63</v>
      </c>
      <c r="J15" s="5"/>
    </row>
    <row r="16" hidden="1">
      <c r="A16" s="6" t="s">
        <v>9</v>
      </c>
      <c r="B16" s="7" t="str">
        <f>HYPERLINK("https://www.rsa.org/","Renaissance Society of America")</f>
        <v>Renaissance Society of America</v>
      </c>
      <c r="C16" s="8" t="s">
        <v>16</v>
      </c>
      <c r="D16" s="17" t="s">
        <v>64</v>
      </c>
      <c r="E16" s="18" t="s">
        <v>65</v>
      </c>
      <c r="F16" s="18" t="s">
        <v>66</v>
      </c>
      <c r="G16" s="9"/>
      <c r="H16" s="23">
        <v>3000.0</v>
      </c>
      <c r="I16" s="16" t="s">
        <v>67</v>
      </c>
      <c r="J16" s="5"/>
    </row>
    <row r="17">
      <c r="A17" s="6" t="s">
        <v>68</v>
      </c>
      <c r="B17" s="7" t="str">
        <f>HYPERLINK("https://www.gf.org/","John Simon Guggenheim Memorial Foundation")</f>
        <v>John Simon Guggenheim Memorial Foundation</v>
      </c>
      <c r="C17" s="8" t="s">
        <v>16</v>
      </c>
      <c r="D17" s="13" t="s">
        <v>66</v>
      </c>
      <c r="E17" s="18" t="s">
        <v>45</v>
      </c>
      <c r="F17" s="9" t="s">
        <v>66</v>
      </c>
      <c r="G17" s="9"/>
      <c r="H17" s="9"/>
      <c r="I17" s="16" t="s">
        <v>69</v>
      </c>
      <c r="J17" s="5" t="str">
        <f>J18</f>
        <v/>
      </c>
    </row>
    <row r="18" ht="15.75" customHeight="1">
      <c r="A18" s="6" t="s">
        <v>68</v>
      </c>
      <c r="B18" s="7" t="str">
        <f>HYPERLINK("https://sobp.org","Society of Biological Psychiatry")</f>
        <v>Society of Biological Psychiatry</v>
      </c>
      <c r="C18" s="8" t="s">
        <v>16</v>
      </c>
      <c r="D18" s="7" t="str">
        <f>HYPERLINK("https://sobp.org/travel-fellowship-award-early-career-investigator-domestic/","Travel Fellowship Award")</f>
        <v>Travel Fellowship Award</v>
      </c>
      <c r="E18" s="18" t="s">
        <v>70</v>
      </c>
      <c r="F18" s="18" t="s">
        <v>71</v>
      </c>
      <c r="G18" s="9" t="s">
        <v>72</v>
      </c>
      <c r="H18" s="23">
        <v>2000.0</v>
      </c>
      <c r="I18" s="16" t="s">
        <v>73</v>
      </c>
      <c r="J18" s="5"/>
    </row>
    <row r="19" ht="15.75" customHeight="1">
      <c r="A19" s="28">
        <v>45199.0</v>
      </c>
      <c r="B19" s="17" t="s">
        <v>74</v>
      </c>
      <c r="C19" s="8" t="s">
        <v>75</v>
      </c>
      <c r="D19" s="17" t="s">
        <v>76</v>
      </c>
      <c r="E19" s="18" t="s">
        <v>77</v>
      </c>
      <c r="F19" s="9" t="s">
        <v>78</v>
      </c>
      <c r="G19" s="9" t="s">
        <v>47</v>
      </c>
      <c r="H19" s="9" t="s">
        <v>79</v>
      </c>
      <c r="I19" s="16" t="s">
        <v>80</v>
      </c>
      <c r="J19" s="5"/>
    </row>
    <row r="20" ht="15.75" customHeight="1">
      <c r="A20" s="6" t="s">
        <v>68</v>
      </c>
      <c r="B20" s="7" t="str">
        <f>HYPERLINK("http://fitchfoundation.org/","Fitch Foundation")</f>
        <v>Fitch Foundation</v>
      </c>
      <c r="C20" s="8" t="s">
        <v>16</v>
      </c>
      <c r="D20" s="17" t="s">
        <v>81</v>
      </c>
      <c r="E20" s="18" t="s">
        <v>82</v>
      </c>
      <c r="F20" s="9" t="s">
        <v>83</v>
      </c>
      <c r="G20" s="9"/>
      <c r="H20" s="9"/>
      <c r="I20" s="16" t="s">
        <v>84</v>
      </c>
      <c r="J20" s="5"/>
    </row>
    <row r="21" ht="15.75" customHeight="1">
      <c r="A21" s="6" t="s">
        <v>68</v>
      </c>
      <c r="B21" s="7" t="str">
        <f>HYPERLINK("https://www.acls.org","American Council of Learned Societies")</f>
        <v>American Council of Learned Societies</v>
      </c>
      <c r="C21" s="8" t="s">
        <v>16</v>
      </c>
      <c r="D21" s="13" t="s">
        <v>85</v>
      </c>
      <c r="E21" s="18" t="s">
        <v>86</v>
      </c>
      <c r="F21" s="9" t="s">
        <v>87</v>
      </c>
      <c r="G21" s="9"/>
      <c r="H21" s="23">
        <v>55000.0</v>
      </c>
      <c r="I21" s="16" t="s">
        <v>88</v>
      </c>
      <c r="J21" s="5"/>
    </row>
    <row r="22" ht="15.75" customHeight="1">
      <c r="A22" s="6" t="s">
        <v>68</v>
      </c>
      <c r="B22" s="7" t="str">
        <f>HYPERLINK("https://www.grammymuseum.org","Grammy Museum")</f>
        <v>Grammy Museum</v>
      </c>
      <c r="C22" s="8" t="s">
        <v>16</v>
      </c>
      <c r="D22" s="17" t="s">
        <v>89</v>
      </c>
      <c r="E22" s="18" t="s">
        <v>82</v>
      </c>
      <c r="F22" s="9" t="s">
        <v>90</v>
      </c>
      <c r="G22" s="9"/>
      <c r="H22" s="9"/>
      <c r="I22" s="16" t="s">
        <v>91</v>
      </c>
      <c r="J22" s="5"/>
    </row>
    <row r="23" ht="15.75" customHeight="1">
      <c r="A23" s="28">
        <v>44985.0</v>
      </c>
      <c r="B23" s="7" t="str">
        <f>HYPERLINK("https://lclf.harvard.edu/","Loeb Classical Library - Harvard University")</f>
        <v>Loeb Classical Library - Harvard University</v>
      </c>
      <c r="C23" s="8" t="s">
        <v>10</v>
      </c>
      <c r="D23" s="17" t="s">
        <v>92</v>
      </c>
      <c r="E23" s="18" t="s">
        <v>93</v>
      </c>
      <c r="F23" s="15" t="s">
        <v>87</v>
      </c>
      <c r="G23" s="15" t="s">
        <v>94</v>
      </c>
      <c r="H23" s="9" t="s">
        <v>95</v>
      </c>
      <c r="I23" s="16" t="s">
        <v>96</v>
      </c>
      <c r="J23" s="5"/>
    </row>
    <row r="24" ht="15.75" customHeight="1">
      <c r="A24" s="19">
        <v>44866.0</v>
      </c>
      <c r="B24" s="7" t="str">
        <f>HYPERLINK("http://librarycompany.org/","Library Company of Philadelphia")</f>
        <v>Library Company of Philadelphia</v>
      </c>
      <c r="C24" s="8" t="s">
        <v>49</v>
      </c>
      <c r="D24" s="7" t="str">
        <f>HYPERLINK("http://librarycompany.org/academic-programs/fellowships/postdoc/","NEH Post-doctoral Fellowship")</f>
        <v>NEH Post-doctoral Fellowship</v>
      </c>
      <c r="E24" s="18" t="s">
        <v>61</v>
      </c>
      <c r="F24" s="9" t="s">
        <v>34</v>
      </c>
      <c r="G24" s="9"/>
      <c r="H24" s="9" t="s">
        <v>97</v>
      </c>
      <c r="I24" s="16" t="s">
        <v>98</v>
      </c>
      <c r="J24" s="5"/>
    </row>
    <row r="25" ht="15.75" customHeight="1">
      <c r="A25" s="29">
        <v>44136.0</v>
      </c>
      <c r="B25" s="7" t="str">
        <f>HYPERLINK("https://ces.fas.harvard.edu/","Harvard Center for European Studies")</f>
        <v>Harvard Center for European Studies</v>
      </c>
      <c r="C25" s="8" t="s">
        <v>10</v>
      </c>
      <c r="D25" s="7" t="str">
        <f>HYPERLINK("https://ces.fas.harvard.edu/opportunities/fellows/visiting-scholars","Visiting Scholars and Fellows Program")</f>
        <v>Visiting Scholars and Fellows Program</v>
      </c>
      <c r="E25" s="18" t="s">
        <v>99</v>
      </c>
      <c r="F25" s="9" t="s">
        <v>34</v>
      </c>
      <c r="G25" s="9"/>
      <c r="H25" s="9" t="s">
        <v>100</v>
      </c>
      <c r="I25" s="16" t="s">
        <v>101</v>
      </c>
      <c r="J25" s="5"/>
    </row>
    <row r="26" ht="15.75" customHeight="1">
      <c r="A26" s="19">
        <v>44866.0</v>
      </c>
      <c r="B26" s="7" t="str">
        <f>HYPERLINK("https://science.nrao.edu","National Radio Astronomy Observatory")</f>
        <v>National Radio Astronomy Observatory</v>
      </c>
      <c r="C26" s="8" t="s">
        <v>49</v>
      </c>
      <c r="D26" s="7" t="str">
        <f>HYPERLINK("https://science.nrao.edu/opportunities/postdoctoral-programs/jansky","Jansky Fellowship")</f>
        <v>Jansky Fellowship</v>
      </c>
      <c r="E26" s="18" t="s">
        <v>102</v>
      </c>
      <c r="F26" s="9" t="s">
        <v>103</v>
      </c>
      <c r="G26" s="9"/>
      <c r="H26" s="9"/>
      <c r="I26" s="16" t="s">
        <v>104</v>
      </c>
      <c r="J26" s="5"/>
    </row>
    <row r="27" ht="15.75" customHeight="1">
      <c r="A27" s="19">
        <v>44504.0</v>
      </c>
      <c r="B27" s="7" t="str">
        <f>HYPERLINK("http://www.stsci.edu/","Space Telescope Science Institute")</f>
        <v>Space Telescope Science Institute</v>
      </c>
      <c r="C27" s="8" t="s">
        <v>49</v>
      </c>
      <c r="D27" s="7" t="s">
        <v>105</v>
      </c>
      <c r="E27" s="18" t="s">
        <v>106</v>
      </c>
      <c r="F27" s="9" t="s">
        <v>107</v>
      </c>
      <c r="G27" s="9"/>
      <c r="H27" s="9"/>
      <c r="I27" s="16" t="s">
        <v>108</v>
      </c>
      <c r="J27" s="5"/>
    </row>
    <row r="28" ht="15.75" customHeight="1">
      <c r="A28" s="6" t="s">
        <v>68</v>
      </c>
      <c r="B28" s="7" t="str">
        <f>HYPERLINK("https://www.fws.gov/","U.S. Fish and Wildlife Service")</f>
        <v>U.S. Fish and Wildlife Service</v>
      </c>
      <c r="C28" s="8" t="s">
        <v>41</v>
      </c>
      <c r="D28" s="13" t="s">
        <v>109</v>
      </c>
      <c r="E28" s="18" t="s">
        <v>77</v>
      </c>
      <c r="F28" s="9" t="s">
        <v>110</v>
      </c>
      <c r="G28" s="9"/>
      <c r="H28" s="9"/>
      <c r="I28" s="16" t="s">
        <v>111</v>
      </c>
      <c r="J28" s="5"/>
    </row>
    <row r="29" ht="15.75" customHeight="1">
      <c r="A29" s="30">
        <v>44872.0</v>
      </c>
      <c r="B29" s="7" t="str">
        <f t="shared" ref="B29:B30" si="1">HYPERLINK("http://fitchfoundation.org/","Fitch Foundation")</f>
        <v>Fitch Foundation</v>
      </c>
      <c r="C29" s="8" t="s">
        <v>16</v>
      </c>
      <c r="D29" s="7" t="str">
        <f>HYPERLINK("http://fitchfoundation.org/grants/kress/","Samuel H. Kress Fellowship")</f>
        <v>Samuel H. Kress Fellowship</v>
      </c>
      <c r="E29" s="18" t="s">
        <v>65</v>
      </c>
      <c r="F29" s="9" t="s">
        <v>66</v>
      </c>
      <c r="G29" s="9" t="s">
        <v>112</v>
      </c>
      <c r="H29" s="9" t="s">
        <v>113</v>
      </c>
      <c r="I29" s="16" t="s">
        <v>114</v>
      </c>
      <c r="J29" s="5"/>
    </row>
    <row r="30" ht="15.75" customHeight="1">
      <c r="A30" s="19">
        <v>44871.0</v>
      </c>
      <c r="B30" s="7" t="str">
        <f t="shared" si="1"/>
        <v>Fitch Foundation</v>
      </c>
      <c r="C30" s="8" t="s">
        <v>16</v>
      </c>
      <c r="D30" s="7" t="s">
        <v>115</v>
      </c>
      <c r="E30" s="18" t="s">
        <v>45</v>
      </c>
      <c r="F30" s="9" t="s">
        <v>66</v>
      </c>
      <c r="G30" s="9"/>
      <c r="H30" s="9"/>
      <c r="I30" s="16" t="s">
        <v>116</v>
      </c>
      <c r="J30" s="5"/>
    </row>
    <row r="31" ht="15.75" customHeight="1">
      <c r="A31" s="19">
        <v>44881.0</v>
      </c>
      <c r="B31" s="7" t="str">
        <f>HYPERLINK("http://www.acls.org/","American Council of Learned Societies")</f>
        <v>American Council of Learned Societies</v>
      </c>
      <c r="C31" s="8" t="s">
        <v>16</v>
      </c>
      <c r="D31" s="31" t="str">
        <f>HYPERLINK("https://www.acls.org/programs/robert-h-n-ho-family-foundation-in-buddhist-studies/","The Robert H. N. Ho Family Foundation Research Fellowships in Buddhist Studies
")</f>
        <v>The Robert H. N. Ho Family Foundation Research Fellowships in Buddhist Studies
</v>
      </c>
      <c r="E31" s="18" t="s">
        <v>117</v>
      </c>
      <c r="F31" s="9" t="s">
        <v>118</v>
      </c>
      <c r="G31" s="9"/>
      <c r="H31" s="23" t="s">
        <v>119</v>
      </c>
      <c r="I31" s="16" t="s">
        <v>120</v>
      </c>
      <c r="J31" s="5"/>
    </row>
    <row r="32" ht="15.75" customHeight="1">
      <c r="A32" s="19">
        <v>44610.0</v>
      </c>
      <c r="B32" s="7" t="str">
        <f>HYPERLINK("https://alliance.columbia.edu/","Columbia Alliance")</f>
        <v>Columbia Alliance</v>
      </c>
      <c r="C32" s="8" t="s">
        <v>10</v>
      </c>
      <c r="D32" s="7" t="str">
        <f>HYPERLINK("https://alliance.columbia.edu/alliance-call-joint-projects","Joint Projects")</f>
        <v>Joint Projects</v>
      </c>
      <c r="E32" s="9" t="s">
        <v>45</v>
      </c>
      <c r="F32" s="9"/>
      <c r="G32" s="10" t="s">
        <v>121</v>
      </c>
      <c r="H32" s="10" t="s">
        <v>122</v>
      </c>
      <c r="I32" s="11" t="s">
        <v>123</v>
      </c>
      <c r="J32" s="5"/>
    </row>
    <row r="33" ht="15.75" customHeight="1">
      <c r="A33" s="19">
        <v>45250.0</v>
      </c>
      <c r="B33" s="7" t="s">
        <v>124</v>
      </c>
      <c r="C33" s="8" t="s">
        <v>41</v>
      </c>
      <c r="D33" s="7" t="str">
        <f>HYPERLINK("https://www.nsf.gov/funding/pgm_summ.jsp?pims_id=505058","Directorate for Mathematical &amp; Physical Sciences")</f>
        <v>Directorate for Mathematical &amp; Physical Sciences</v>
      </c>
      <c r="E33" s="18" t="s">
        <v>125</v>
      </c>
      <c r="F33" s="9" t="s">
        <v>90</v>
      </c>
      <c r="G33" s="9"/>
      <c r="H33" s="9" t="s">
        <v>126</v>
      </c>
      <c r="I33" s="27" t="s">
        <v>127</v>
      </c>
      <c r="J33" s="5"/>
    </row>
    <row r="34" ht="15.75" customHeight="1">
      <c r="A34" s="30">
        <v>45046.0</v>
      </c>
      <c r="B34" s="7" t="str">
        <f>HYPERLINK("https://www.virginiahumanities.org/","Virginia Foundation for the Humanities")</f>
        <v>Virginia Foundation for the Humanities</v>
      </c>
      <c r="C34" s="8" t="s">
        <v>16</v>
      </c>
      <c r="D34" s="7" t="str">
        <f>HYPERLINK("https://www.virginiahumanities.org/fellowships/","Residential Fellowships")</f>
        <v>Residential Fellowships</v>
      </c>
      <c r="E34" s="18" t="s">
        <v>128</v>
      </c>
      <c r="F34" s="9" t="s">
        <v>87</v>
      </c>
      <c r="G34" s="9"/>
      <c r="H34" s="23"/>
      <c r="I34" s="16" t="s">
        <v>129</v>
      </c>
      <c r="J34" s="5"/>
    </row>
    <row r="35" ht="15.75" customHeight="1">
      <c r="A35" s="19">
        <v>44896.0</v>
      </c>
      <c r="B35" s="7" t="str">
        <f>HYPERLINK("https://history.princeton.edu/","Princeton History Dept")</f>
        <v>Princeton History Dept</v>
      </c>
      <c r="C35" s="8" t="s">
        <v>10</v>
      </c>
      <c r="D35" s="7" t="s">
        <v>66</v>
      </c>
      <c r="E35" s="18" t="s">
        <v>61</v>
      </c>
      <c r="F35" s="9" t="s">
        <v>34</v>
      </c>
      <c r="G35" s="9"/>
      <c r="H35" s="9" t="s">
        <v>130</v>
      </c>
      <c r="I35" s="16" t="s">
        <v>131</v>
      </c>
      <c r="J35" s="5"/>
    </row>
    <row r="36" ht="15.75" customHeight="1">
      <c r="A36" s="19">
        <v>44896.0</v>
      </c>
      <c r="B36" s="7" t="str">
        <f>HYPERLINK("https://www.math.ias.edu/","Institute for Advanced Study (IAS), School of Mathematics")</f>
        <v>Institute for Advanced Study (IAS), School of Mathematics</v>
      </c>
      <c r="C36" s="8" t="s">
        <v>16</v>
      </c>
      <c r="D36" s="7" t="str">
        <f>HYPERLINK("https://www.math.ias.edu/administration/applications","Membership")</f>
        <v>Membership</v>
      </c>
      <c r="E36" s="18" t="s">
        <v>132</v>
      </c>
      <c r="F36" s="9" t="s">
        <v>90</v>
      </c>
      <c r="G36" s="9"/>
      <c r="H36" s="23"/>
      <c r="I36" s="27" t="s">
        <v>133</v>
      </c>
      <c r="J36" s="5"/>
    </row>
    <row r="37" ht="15.75" customHeight="1">
      <c r="A37" s="19">
        <v>45275.0</v>
      </c>
      <c r="B37" s="32" t="s">
        <v>124</v>
      </c>
      <c r="C37" s="8" t="s">
        <v>41</v>
      </c>
      <c r="D37" s="7" t="str">
        <f>HYPERLINK("https://www.nsf.gov/funding/pgm_summ.jsp?pims_id=5556","Statistics")</f>
        <v>Statistics</v>
      </c>
      <c r="E37" s="18" t="s">
        <v>106</v>
      </c>
      <c r="F37" s="9" t="s">
        <v>90</v>
      </c>
      <c r="G37" s="9"/>
      <c r="H37" s="9"/>
      <c r="I37" s="16" t="s">
        <v>134</v>
      </c>
      <c r="J37" s="5"/>
    </row>
    <row r="38" ht="15.75" customHeight="1">
      <c r="A38" s="33">
        <v>44896.0</v>
      </c>
      <c r="B38" s="14" t="s">
        <v>135</v>
      </c>
      <c r="C38" s="34" t="s">
        <v>75</v>
      </c>
      <c r="D38" s="13" t="s">
        <v>136</v>
      </c>
      <c r="E38" s="35" t="s">
        <v>137</v>
      </c>
      <c r="F38" s="36" t="s">
        <v>138</v>
      </c>
      <c r="G38" s="37" t="s">
        <v>72</v>
      </c>
      <c r="H38" s="38">
        <v>60000.0</v>
      </c>
      <c r="I38" s="39" t="s">
        <v>139</v>
      </c>
      <c r="J38" s="5"/>
    </row>
    <row r="39" ht="15.75" customHeight="1">
      <c r="A39" s="21">
        <v>44896.0</v>
      </c>
      <c r="B39" s="7" t="str">
        <f>HYPERLINK("https://woodrow.org/","Woodrow Wilson National Fellowship Foundation")</f>
        <v>Woodrow Wilson National Fellowship Foundation</v>
      </c>
      <c r="C39" s="8" t="s">
        <v>16</v>
      </c>
      <c r="D39" s="7" t="str">
        <f>HYPERLINK("https://woodrow.org/fellowships/nwmscholars/","Nancy Weiss Malkiel Scholars Award")</f>
        <v>Nancy Weiss Malkiel Scholars Award</v>
      </c>
      <c r="E39" s="18" t="s">
        <v>128</v>
      </c>
      <c r="F39" s="9" t="s">
        <v>110</v>
      </c>
      <c r="G39" s="9"/>
      <c r="H39" s="23">
        <v>17500.0</v>
      </c>
      <c r="I39" s="16" t="s">
        <v>140</v>
      </c>
      <c r="J39" s="5"/>
    </row>
    <row r="40" ht="15.75" customHeight="1">
      <c r="A40" s="19">
        <v>45259.0</v>
      </c>
      <c r="B40" s="32" t="s">
        <v>40</v>
      </c>
      <c r="C40" s="8" t="s">
        <v>41</v>
      </c>
      <c r="D40" s="7" t="s">
        <v>141</v>
      </c>
      <c r="E40" s="18" t="s">
        <v>142</v>
      </c>
      <c r="F40" s="9" t="s">
        <v>143</v>
      </c>
      <c r="G40" s="9"/>
      <c r="H40" s="9"/>
      <c r="I40" s="27" t="s">
        <v>144</v>
      </c>
      <c r="J40" s="40"/>
    </row>
    <row r="41" ht="15.75" customHeight="1">
      <c r="A41" s="19">
        <v>44593.0</v>
      </c>
      <c r="B41" s="7" t="str">
        <f t="shared" ref="B41:B42" si="2">HYPERLINK("https://www.amphilsoc.org","American Philosophical Society")</f>
        <v>American Philosophical Society</v>
      </c>
      <c r="C41" s="8" t="s">
        <v>16</v>
      </c>
      <c r="D41" s="13" t="s">
        <v>145</v>
      </c>
      <c r="E41" s="6" t="s">
        <v>77</v>
      </c>
      <c r="F41" s="9"/>
      <c r="G41" s="9"/>
      <c r="H41" s="9"/>
      <c r="I41" s="16" t="s">
        <v>146</v>
      </c>
      <c r="J41" s="5"/>
    </row>
    <row r="42" ht="15.75" customHeight="1">
      <c r="A42" s="19">
        <v>44169.0</v>
      </c>
      <c r="B42" s="7" t="str">
        <f t="shared" si="2"/>
        <v>American Philosophical Society</v>
      </c>
      <c r="C42" s="8" t="s">
        <v>16</v>
      </c>
      <c r="D42" s="7" t="str">
        <f>HYPERLINK("https://www.amphilsoc.org/grants/curatorialfellowship","Andrew W. Mellon Foundation Postdoctoral Curatorial Fellowship")</f>
        <v>Andrew W. Mellon Foundation Postdoctoral Curatorial Fellowship</v>
      </c>
      <c r="E42" s="18" t="s">
        <v>128</v>
      </c>
      <c r="F42" s="9" t="s">
        <v>34</v>
      </c>
      <c r="G42" s="9" t="s">
        <v>147</v>
      </c>
      <c r="H42" s="9" t="s">
        <v>148</v>
      </c>
      <c r="I42" s="16" t="s">
        <v>149</v>
      </c>
      <c r="J42" s="5"/>
    </row>
    <row r="43" ht="15.75" customHeight="1">
      <c r="A43" s="19">
        <v>44805.0</v>
      </c>
      <c r="B43" s="13" t="s">
        <v>150</v>
      </c>
      <c r="C43" s="14" t="s">
        <v>151</v>
      </c>
      <c r="D43" s="13" t="s">
        <v>152</v>
      </c>
      <c r="E43" s="6"/>
      <c r="F43" s="9"/>
      <c r="G43" s="9"/>
      <c r="H43" s="23"/>
      <c r="I43" s="16" t="s">
        <v>153</v>
      </c>
      <c r="J43" s="5"/>
    </row>
    <row r="44" ht="15.75" customHeight="1">
      <c r="A44" s="19">
        <v>44981.0</v>
      </c>
      <c r="B44" s="13" t="s">
        <v>154</v>
      </c>
      <c r="C44" s="14" t="s">
        <v>10</v>
      </c>
      <c r="D44" s="13" t="s">
        <v>155</v>
      </c>
      <c r="E44" s="6" t="s">
        <v>45</v>
      </c>
      <c r="F44" s="9"/>
      <c r="G44" s="9"/>
      <c r="H44" s="23"/>
      <c r="I44" s="16" t="s">
        <v>156</v>
      </c>
      <c r="J44" s="5"/>
    </row>
    <row r="45" ht="15.75" customHeight="1">
      <c r="A45" s="19">
        <v>44683.0</v>
      </c>
      <c r="B45" s="13" t="s">
        <v>157</v>
      </c>
      <c r="C45" s="14" t="s">
        <v>16</v>
      </c>
      <c r="D45" s="13" t="s">
        <v>158</v>
      </c>
      <c r="E45" s="6" t="s">
        <v>45</v>
      </c>
      <c r="F45" s="9"/>
      <c r="G45" s="9"/>
      <c r="H45" s="23"/>
      <c r="I45" s="16" t="s">
        <v>159</v>
      </c>
      <c r="J45" s="5"/>
    </row>
    <row r="46" ht="15.75" customHeight="1">
      <c r="A46" s="19">
        <v>44834.0</v>
      </c>
      <c r="B46" s="13" t="s">
        <v>160</v>
      </c>
      <c r="C46" s="14" t="s">
        <v>41</v>
      </c>
      <c r="D46" s="13" t="s">
        <v>161</v>
      </c>
      <c r="E46" s="6" t="s">
        <v>45</v>
      </c>
      <c r="F46" s="9"/>
      <c r="G46" s="9"/>
      <c r="H46" s="23"/>
      <c r="I46" s="16" t="s">
        <v>162</v>
      </c>
      <c r="J46" s="5"/>
    </row>
    <row r="47" ht="15.75" customHeight="1">
      <c r="A47" s="19">
        <v>45266.0</v>
      </c>
      <c r="B47" s="7" t="str">
        <f>HYPERLINK("https://camws.org/","Classical Association of the Middle West and South")</f>
        <v>Classical Association of the Middle West and South</v>
      </c>
      <c r="C47" s="8" t="s">
        <v>16</v>
      </c>
      <c r="D47" s="7" t="str">
        <f>HYPERLINK("https://camws.org/node/626","Faculty-Undergraduate Collaborative Research Projects")</f>
        <v>Faculty-Undergraduate Collaborative Research Projects</v>
      </c>
      <c r="E47" s="18" t="s">
        <v>163</v>
      </c>
      <c r="F47" s="9" t="s">
        <v>90</v>
      </c>
      <c r="G47" s="9"/>
      <c r="H47" s="23" t="s">
        <v>164</v>
      </c>
      <c r="I47" s="27" t="s">
        <v>165</v>
      </c>
      <c r="J47" s="5"/>
    </row>
    <row r="48" ht="15.75" customHeight="1">
      <c r="A48" s="19">
        <v>44906.0</v>
      </c>
      <c r="B48" s="7" t="str">
        <f t="shared" ref="B48:B49" si="3">HYPERLINK("https://www.onr.navy.mil/en","Office of Naval Research")</f>
        <v>Office of Naval Research</v>
      </c>
      <c r="C48" s="8" t="s">
        <v>41</v>
      </c>
      <c r="D48" s="7" t="str">
        <f>HYPERLINK("https://www.nsf.gov/publications/pub_summ.jsp?ods_key=nsf21530","Smart and Connected Health (SCH) Connecting Data, People and Systems")</f>
        <v>Smart and Connected Health (SCH) Connecting Data, People and Systems</v>
      </c>
      <c r="E48" s="18" t="s">
        <v>77</v>
      </c>
      <c r="F48" s="9" t="s">
        <v>143</v>
      </c>
      <c r="G48" s="9"/>
      <c r="H48" s="9" t="s">
        <v>166</v>
      </c>
      <c r="I48" s="27" t="s">
        <v>167</v>
      </c>
      <c r="J48" s="5"/>
    </row>
    <row r="49" ht="15.75" customHeight="1">
      <c r="A49" s="19">
        <v>44544.0</v>
      </c>
      <c r="B49" s="7" t="str">
        <f t="shared" si="3"/>
        <v>Office of Naval Research</v>
      </c>
      <c r="C49" s="8" t="s">
        <v>41</v>
      </c>
      <c r="D49" s="7" t="str">
        <f>HYPERLINK("http://onroutreach-summer-faculty-research-sabbatical.com/summer-faculty-research-program","Summer Faculty Research Program")</f>
        <v>Summer Faculty Research Program</v>
      </c>
      <c r="E49" s="18" t="s">
        <v>77</v>
      </c>
      <c r="F49" s="18" t="s">
        <v>90</v>
      </c>
      <c r="G49" s="18"/>
      <c r="H49" s="9"/>
      <c r="I49" s="16" t="s">
        <v>168</v>
      </c>
      <c r="J49" s="5"/>
    </row>
    <row r="50" ht="15.75" customHeight="1">
      <c r="A50" s="19">
        <v>44910.0</v>
      </c>
      <c r="B50" s="7" t="str">
        <f>HYPERLINK("https://www.brown.edu/academics/libraries/john-carter-brown/","John Carter Brown Library")</f>
        <v>John Carter Brown Library</v>
      </c>
      <c r="C50" s="8" t="s">
        <v>49</v>
      </c>
      <c r="D50" s="7" t="s">
        <v>169</v>
      </c>
      <c r="E50" s="18" t="s">
        <v>61</v>
      </c>
      <c r="F50" s="9" t="s">
        <v>34</v>
      </c>
      <c r="G50" s="9"/>
      <c r="H50" s="9" t="s">
        <v>170</v>
      </c>
      <c r="I50" s="16" t="s">
        <v>171</v>
      </c>
      <c r="J50" s="5"/>
    </row>
    <row r="51" ht="15.75" customHeight="1">
      <c r="A51" s="19">
        <v>44576.0</v>
      </c>
      <c r="B51" s="7" t="str">
        <f>HYPERLINK("http://scienceandsociety.columbia.edu/","Columbia Science and Society")</f>
        <v>Columbia Science and Society</v>
      </c>
      <c r="C51" s="8" t="s">
        <v>10</v>
      </c>
      <c r="D51" s="7" t="str">
        <f>HYPERLINK("http://iserp.columbia.edu/funding/center-science-and-society-seed-grants","Seed Grants")</f>
        <v>Seed Grants</v>
      </c>
      <c r="E51" s="9" t="s">
        <v>172</v>
      </c>
      <c r="F51" s="9" t="s">
        <v>173</v>
      </c>
      <c r="G51" s="10"/>
      <c r="H51" s="10" t="s">
        <v>174</v>
      </c>
      <c r="I51" s="11" t="s">
        <v>175</v>
      </c>
      <c r="J51" s="5"/>
    </row>
    <row r="52" ht="15.75" customHeight="1">
      <c r="A52" s="19">
        <v>44494.0</v>
      </c>
      <c r="B52" s="7" t="str">
        <f>HYPERLINK("https://thomafoundation.org","Thoma Foundation")</f>
        <v>Thoma Foundation</v>
      </c>
      <c r="C52" s="8" t="s">
        <v>16</v>
      </c>
      <c r="D52" s="7" t="str">
        <f>HYPERLINK("https://thomafoundation.org/announcing-the-marilynn-thoma-fellowship-in-spanish-colonial-art/","Marilyn Thoma Fellowship in Spanish Colonial Art")</f>
        <v>Marilyn Thoma Fellowship in Spanish Colonial Art</v>
      </c>
      <c r="E52" s="18" t="s">
        <v>176</v>
      </c>
      <c r="F52" s="9" t="s">
        <v>90</v>
      </c>
      <c r="G52" s="9" t="s">
        <v>177</v>
      </c>
      <c r="H52" s="9" t="s">
        <v>178</v>
      </c>
      <c r="I52" s="16" t="s">
        <v>179</v>
      </c>
      <c r="J52" s="5"/>
    </row>
    <row r="53" ht="15.75" customHeight="1">
      <c r="A53" s="19">
        <v>45041.0</v>
      </c>
      <c r="B53" s="7" t="str">
        <f>HYPERLINK("https://www.afar.org/","American Federation for Aging Research")</f>
        <v>American Federation for Aging Research</v>
      </c>
      <c r="C53" s="18" t="s">
        <v>16</v>
      </c>
      <c r="D53" s="7" t="str">
        <f>HYPERLINK("https://www.afar.org/grants/afar-research-grants-1","Glenn Foundation for Medical Research and AFAR Grants for Junior Faculty")</f>
        <v>Glenn Foundation for Medical Research and AFAR Grants for Junior Faculty</v>
      </c>
      <c r="E53" s="18" t="s">
        <v>180</v>
      </c>
      <c r="F53" s="18" t="s">
        <v>90</v>
      </c>
      <c r="G53" s="15" t="s">
        <v>181</v>
      </c>
      <c r="H53" s="23" t="s">
        <v>182</v>
      </c>
      <c r="I53" s="16" t="s">
        <v>183</v>
      </c>
      <c r="J53" s="5"/>
    </row>
    <row r="54" ht="15.75" customHeight="1">
      <c r="A54" s="19">
        <v>44910.0</v>
      </c>
      <c r="B54" s="7" t="str">
        <f>HYPERLINK("https://www.brown.edu/academics/libraries/john-carter-brown/","John Carter Brown Library")</f>
        <v>John Carter Brown Library</v>
      </c>
      <c r="C54" s="8" t="s">
        <v>10</v>
      </c>
      <c r="D54" s="17" t="s">
        <v>184</v>
      </c>
      <c r="E54" s="18" t="s">
        <v>61</v>
      </c>
      <c r="F54" s="9" t="s">
        <v>87</v>
      </c>
      <c r="G54" s="9"/>
      <c r="H54" s="23" t="s">
        <v>185</v>
      </c>
      <c r="I54" s="41" t="s">
        <v>186</v>
      </c>
      <c r="J54" s="5"/>
    </row>
    <row r="55" ht="15.75" customHeight="1">
      <c r="A55" s="19">
        <v>44910.0</v>
      </c>
      <c r="B55" s="7" t="str">
        <f>HYPERLINK("https://gruber.yale.edu/","Gruber Foundation")</f>
        <v>Gruber Foundation</v>
      </c>
      <c r="C55" s="8" t="s">
        <v>16</v>
      </c>
      <c r="D55" s="7" t="s">
        <v>187</v>
      </c>
      <c r="E55" s="18" t="s">
        <v>188</v>
      </c>
      <c r="F55" s="9" t="s">
        <v>138</v>
      </c>
      <c r="G55" s="9"/>
      <c r="H55" s="9"/>
      <c r="I55" s="16" t="s">
        <v>189</v>
      </c>
      <c r="J55" s="5"/>
    </row>
    <row r="56" ht="15.75" customHeight="1">
      <c r="A56" s="19">
        <v>44197.0</v>
      </c>
      <c r="B56" s="7" t="str">
        <f>HYPERLINK("https://www.nature.org/?intc=nature.tnav.logo","Nature Conservancy")</f>
        <v>Nature Conservancy</v>
      </c>
      <c r="C56" s="8" t="s">
        <v>16</v>
      </c>
      <c r="D56" s="7" t="s">
        <v>190</v>
      </c>
      <c r="E56" s="18" t="s">
        <v>188</v>
      </c>
      <c r="F56" s="9" t="s">
        <v>191</v>
      </c>
      <c r="G56" s="9" t="s">
        <v>72</v>
      </c>
      <c r="H56" s="42">
        <v>50000.0</v>
      </c>
      <c r="I56" s="16" t="s">
        <v>192</v>
      </c>
      <c r="J56" s="5"/>
    </row>
    <row r="57" ht="15.75" customHeight="1">
      <c r="A57" s="29">
        <v>44197.0</v>
      </c>
      <c r="B57" s="7" t="str">
        <f>HYPERLINK("https://www.nih.gov/","National Institutes of Health")</f>
        <v>National Institutes of Health</v>
      </c>
      <c r="C57" s="8" t="s">
        <v>41</v>
      </c>
      <c r="D57" s="7" t="s">
        <v>193</v>
      </c>
      <c r="E57" s="18" t="s">
        <v>194</v>
      </c>
      <c r="F57" s="9" t="s">
        <v>90</v>
      </c>
      <c r="G57" s="9"/>
      <c r="H57" s="9"/>
      <c r="I57" s="27" t="s">
        <v>56</v>
      </c>
      <c r="J57" s="5"/>
    </row>
    <row r="58" ht="15.75" hidden="1" customHeight="1">
      <c r="A58" s="19">
        <v>44562.0</v>
      </c>
      <c r="B58" s="7" t="str">
        <f>HYPERLINK("https://asecs.press.jhu.edu/","American Society for Eighteenth-Century Studies")</f>
        <v>American Society for Eighteenth-Century Studies</v>
      </c>
      <c r="C58" s="8" t="s">
        <v>10</v>
      </c>
      <c r="D58" s="32" t="s">
        <v>195</v>
      </c>
      <c r="E58" s="18" t="s">
        <v>82</v>
      </c>
      <c r="F58" s="18" t="s">
        <v>138</v>
      </c>
      <c r="G58" s="18"/>
      <c r="H58" s="9"/>
      <c r="I58" s="27" t="s">
        <v>196</v>
      </c>
      <c r="J58" s="5"/>
    </row>
    <row r="59" ht="15.75" customHeight="1">
      <c r="A59" s="19">
        <v>44712.0</v>
      </c>
      <c r="B59" s="7" t="str">
        <f>HYPERLINK("https://caves.org/","National Speleological Society")</f>
        <v>National Speleological Society</v>
      </c>
      <c r="C59" s="8" t="s">
        <v>16</v>
      </c>
      <c r="D59" s="43" t="str">
        <f>HYPERLINK("https://caves.org/grants/nss_intl_exploration_home_page.shtml","Int'l Exploration Grants")</f>
        <v>Int'l Exploration Grants</v>
      </c>
      <c r="E59" s="18" t="s">
        <v>188</v>
      </c>
      <c r="F59" s="9" t="s">
        <v>90</v>
      </c>
      <c r="G59" s="9"/>
      <c r="H59" s="9"/>
      <c r="I59" s="27" t="s">
        <v>197</v>
      </c>
      <c r="J59" s="5"/>
    </row>
    <row r="60" ht="15.75" customHeight="1">
      <c r="A60" s="30">
        <v>44849.0</v>
      </c>
      <c r="B60" s="7" t="str">
        <f>HYPERLINK("https://www.loc.gov/programs/john-w-kluge-center/about-this-program/","Kluge Center at the Library of Congress")</f>
        <v>Kluge Center at the Library of Congress</v>
      </c>
      <c r="C60" s="8" t="s">
        <v>41</v>
      </c>
      <c r="D60" s="7" t="str">
        <f>HYPERLINK("https://www.loc.gov/programs/john-w-kluge-center/chairs-fellowships/chairs/blumberg-nasa-chair-in-astrobiology/","Baruch S. Blumberg NASA/Library of Congress Chair in Astrobiology")</f>
        <v>Baruch S. Blumberg NASA/Library of Congress Chair in Astrobiology</v>
      </c>
      <c r="E60" s="18" t="s">
        <v>198</v>
      </c>
      <c r="F60" s="9"/>
      <c r="G60" s="9"/>
      <c r="H60" s="23" t="s">
        <v>199</v>
      </c>
      <c r="I60" s="27" t="s">
        <v>200</v>
      </c>
      <c r="J60" s="5"/>
    </row>
    <row r="61" ht="15.75" customHeight="1">
      <c r="A61" s="21">
        <v>44565.0</v>
      </c>
      <c r="B61" s="7" t="str">
        <f>HYPERLINK("https://neuroscience.mcknight.org","McKnight Foundation")</f>
        <v>McKnight Foundation</v>
      </c>
      <c r="C61" s="8" t="s">
        <v>16</v>
      </c>
      <c r="D61" s="13" t="s">
        <v>201</v>
      </c>
      <c r="E61" s="18" t="s">
        <v>194</v>
      </c>
      <c r="F61" s="9" t="s">
        <v>138</v>
      </c>
      <c r="G61" s="26"/>
      <c r="H61" s="9"/>
      <c r="I61" s="27" t="s">
        <v>202</v>
      </c>
      <c r="J61" s="5"/>
    </row>
    <row r="62" ht="109.5" customHeight="1">
      <c r="A62" s="28">
        <v>44564.0</v>
      </c>
      <c r="B62" s="7" t="str">
        <f>HYPERLINK("http://www.apa.org/apf/","American Psychological Association")</f>
        <v>American Psychological Association</v>
      </c>
      <c r="C62" s="8" t="s">
        <v>16</v>
      </c>
      <c r="D62" s="7" t="s">
        <v>203</v>
      </c>
      <c r="E62" s="18" t="s">
        <v>194</v>
      </c>
      <c r="F62" s="18" t="s">
        <v>34</v>
      </c>
      <c r="G62" s="18"/>
      <c r="H62" s="9" t="s">
        <v>204</v>
      </c>
      <c r="I62" s="27" t="s">
        <v>205</v>
      </c>
      <c r="J62" s="5"/>
    </row>
    <row r="63" ht="39.0" customHeight="1">
      <c r="A63" s="19">
        <v>44931.0</v>
      </c>
      <c r="B63" s="17" t="s">
        <v>206</v>
      </c>
      <c r="C63" s="8" t="s">
        <v>16</v>
      </c>
      <c r="D63" s="13" t="s">
        <v>207</v>
      </c>
      <c r="E63" s="18" t="s">
        <v>194</v>
      </c>
      <c r="F63" s="9" t="s">
        <v>90</v>
      </c>
      <c r="G63" s="26"/>
      <c r="H63" s="9"/>
      <c r="I63" s="27" t="s">
        <v>208</v>
      </c>
      <c r="J63" s="5"/>
    </row>
    <row r="64" ht="15.75" customHeight="1">
      <c r="A64" s="44">
        <v>44935.0</v>
      </c>
      <c r="B64" s="45" t="str">
        <f>HYPERLINK("https://www.oxcis.ac.uk/","Oxford Centre for Islamic Studies")</f>
        <v>Oxford Centre for Islamic Studies</v>
      </c>
      <c r="C64" s="46" t="s">
        <v>10</v>
      </c>
      <c r="D64" s="45" t="s">
        <v>209</v>
      </c>
      <c r="E64" s="35" t="s">
        <v>210</v>
      </c>
      <c r="F64" s="36" t="s">
        <v>66</v>
      </c>
      <c r="G64" s="36" t="s">
        <v>211</v>
      </c>
      <c r="H64" s="36" t="s">
        <v>212</v>
      </c>
      <c r="I64" s="39" t="s">
        <v>213</v>
      </c>
      <c r="J64" s="5"/>
    </row>
    <row r="65" ht="15.75" customHeight="1">
      <c r="A65" s="28">
        <v>44879.0</v>
      </c>
      <c r="B65" s="7" t="str">
        <f>HYPERLINK("http://www.hrc.utexas.edu/","Harry Ransom Center- UT Austin")</f>
        <v>Harry Ransom Center- UT Austin</v>
      </c>
      <c r="C65" s="8" t="s">
        <v>10</v>
      </c>
      <c r="D65" s="17" t="s">
        <v>214</v>
      </c>
      <c r="E65" s="18" t="s">
        <v>128</v>
      </c>
      <c r="F65" s="18" t="s">
        <v>34</v>
      </c>
      <c r="G65" s="18"/>
      <c r="H65" s="9" t="s">
        <v>215</v>
      </c>
      <c r="I65" s="16" t="s">
        <v>216</v>
      </c>
      <c r="J65" s="5"/>
    </row>
    <row r="66" ht="15.75" customHeight="1">
      <c r="A66" s="19">
        <v>44757.0</v>
      </c>
      <c r="B66" s="7" t="str">
        <f>HYPERLINK("https://leakeyfoundation.org/","Leakey Foundation")</f>
        <v>Leakey Foundation</v>
      </c>
      <c r="C66" s="8" t="s">
        <v>16</v>
      </c>
      <c r="D66" s="7" t="s">
        <v>217</v>
      </c>
      <c r="E66" s="18" t="s">
        <v>45</v>
      </c>
      <c r="F66" s="9" t="s">
        <v>90</v>
      </c>
      <c r="G66" s="9"/>
      <c r="H66" s="9" t="s">
        <v>218</v>
      </c>
      <c r="I66" s="27" t="s">
        <v>219</v>
      </c>
      <c r="J66" s="5"/>
    </row>
    <row r="67" ht="15.75" customHeight="1">
      <c r="A67" s="19">
        <v>45301.0</v>
      </c>
      <c r="B67" s="7" t="str">
        <f>HYPERLINK("https://www.nsf.gov/","National Science Foundation")</f>
        <v>National Science Foundation</v>
      </c>
      <c r="C67" s="8" t="s">
        <v>41</v>
      </c>
      <c r="D67" s="13" t="s">
        <v>220</v>
      </c>
      <c r="E67" s="18" t="s">
        <v>77</v>
      </c>
      <c r="F67" s="9" t="s">
        <v>221</v>
      </c>
      <c r="G67" s="9"/>
      <c r="H67" s="9"/>
      <c r="I67" s="27" t="s">
        <v>222</v>
      </c>
      <c r="J67" s="5"/>
    </row>
    <row r="68" ht="15.75" customHeight="1">
      <c r="A68" s="19">
        <v>44573.0</v>
      </c>
      <c r="B68" s="7" t="str">
        <f>HYPERLINK("https://www.arts.gov/","National Endowment for the Arts")</f>
        <v>National Endowment for the Arts</v>
      </c>
      <c r="C68" s="8" t="s">
        <v>41</v>
      </c>
      <c r="D68" s="17" t="s">
        <v>223</v>
      </c>
      <c r="E68" s="18" t="s">
        <v>142</v>
      </c>
      <c r="F68" s="9" t="s">
        <v>224</v>
      </c>
      <c r="G68" s="26"/>
      <c r="H68" s="9" t="s">
        <v>225</v>
      </c>
      <c r="I68" s="16" t="s">
        <v>226</v>
      </c>
      <c r="J68" s="5"/>
    </row>
    <row r="69" ht="15.75" customHeight="1">
      <c r="A69" s="19">
        <v>44578.0</v>
      </c>
      <c r="B69" s="7" t="str">
        <f>HYPERLINK("http://parc-us-pal.org/","Palestinian American Research Center")</f>
        <v>Palestinian American Research Center</v>
      </c>
      <c r="C69" s="8" t="s">
        <v>16</v>
      </c>
      <c r="D69" s="22" t="s">
        <v>227</v>
      </c>
      <c r="E69" s="18" t="s">
        <v>55</v>
      </c>
      <c r="F69" s="9" t="s">
        <v>191</v>
      </c>
      <c r="G69" s="9"/>
      <c r="H69" s="9" t="s">
        <v>228</v>
      </c>
      <c r="I69" s="16" t="s">
        <v>229</v>
      </c>
      <c r="J69" s="5"/>
    </row>
    <row r="70" ht="15.75" customHeight="1">
      <c r="A70" s="19">
        <v>44896.0</v>
      </c>
      <c r="B70" s="7" t="str">
        <f t="shared" ref="B70:B71" si="4">HYPERLINK("https://www.folger.edu/","Folger Shakespeare Library")</f>
        <v>Folger Shakespeare Library</v>
      </c>
      <c r="C70" s="8" t="s">
        <v>49</v>
      </c>
      <c r="D70" s="7" t="str">
        <f>HYPERLINK("https://www.folger.edu/about-fellowships","Short Term Fellowship")</f>
        <v>Short Term Fellowship</v>
      </c>
      <c r="E70" s="18" t="s">
        <v>230</v>
      </c>
      <c r="F70" s="18" t="s">
        <v>34</v>
      </c>
      <c r="G70" s="18"/>
      <c r="H70" s="9" t="s">
        <v>231</v>
      </c>
      <c r="I70" s="16" t="s">
        <v>232</v>
      </c>
      <c r="J70" s="5"/>
    </row>
    <row r="71" ht="15.75" customHeight="1">
      <c r="A71" s="19">
        <v>44896.0</v>
      </c>
      <c r="B71" s="7" t="str">
        <f t="shared" si="4"/>
        <v>Folger Shakespeare Library</v>
      </c>
      <c r="C71" s="8" t="s">
        <v>49</v>
      </c>
      <c r="D71" s="7" t="str">
        <f>HYPERLINK("https://www.folger.edu/about-fellowships","Long Term Fellowship")</f>
        <v>Long Term Fellowship</v>
      </c>
      <c r="E71" s="18" t="s">
        <v>233</v>
      </c>
      <c r="F71" s="18" t="s">
        <v>34</v>
      </c>
      <c r="G71" s="18"/>
      <c r="H71" s="9" t="s">
        <v>234</v>
      </c>
      <c r="I71" s="16" t="s">
        <v>232</v>
      </c>
      <c r="J71" s="5"/>
    </row>
    <row r="72" ht="15.75" customHeight="1">
      <c r="A72" s="19">
        <v>44576.0</v>
      </c>
      <c r="B72" s="7" t="str">
        <f>HYPERLINK("http://www.cattell.duke.edu/","Cattell Fund, Duke Univeristy")</f>
        <v>Cattell Fund, Duke Univeristy</v>
      </c>
      <c r="C72" s="8" t="s">
        <v>10</v>
      </c>
      <c r="D72" s="7" t="str">
        <f>HYPERLINK("http://www.cattell.duke.edu/","Fellowships")</f>
        <v>Fellowships</v>
      </c>
      <c r="E72" s="18" t="s">
        <v>235</v>
      </c>
      <c r="F72" s="9" t="s">
        <v>87</v>
      </c>
      <c r="G72" s="9"/>
      <c r="H72" s="23"/>
      <c r="I72" s="41" t="s">
        <v>236</v>
      </c>
      <c r="J72" s="5"/>
    </row>
    <row r="73" ht="15.75" hidden="1" customHeight="1">
      <c r="A73" s="6" t="s">
        <v>237</v>
      </c>
      <c r="B73" s="7" t="str">
        <f>HYPERLINK("https://britishart.yale.edu/","Yale Center for British Art ")</f>
        <v>Yale Center for British Art </v>
      </c>
      <c r="C73" s="8"/>
      <c r="D73" s="17" t="s">
        <v>238</v>
      </c>
      <c r="E73" s="18" t="s">
        <v>128</v>
      </c>
      <c r="F73" s="9" t="s">
        <v>34</v>
      </c>
      <c r="G73" s="18"/>
      <c r="H73" s="9" t="s">
        <v>239</v>
      </c>
      <c r="I73" s="16" t="s">
        <v>240</v>
      </c>
      <c r="J73" s="5"/>
    </row>
    <row r="74" ht="15.75" customHeight="1">
      <c r="A74" s="19">
        <v>44946.0</v>
      </c>
      <c r="B74" s="7" t="str">
        <f>HYPERLINK("http://hcl.harvard.edu/index.cfm","Harvard College Library")</f>
        <v>Harvard College Library</v>
      </c>
      <c r="C74" s="8" t="s">
        <v>10</v>
      </c>
      <c r="D74" s="7" t="str">
        <f>HYPERLINK("https://library.harvard.edu/about/grants-fellowships/houghton-library-visiting-fellowships","Visiting Fellowships")</f>
        <v>Visiting Fellowships</v>
      </c>
      <c r="E74" s="18" t="s">
        <v>61</v>
      </c>
      <c r="F74" s="9" t="s">
        <v>34</v>
      </c>
      <c r="G74" s="9"/>
      <c r="H74" s="23">
        <v>3600.0</v>
      </c>
      <c r="I74" s="16" t="s">
        <v>241</v>
      </c>
      <c r="J74" s="5"/>
    </row>
    <row r="75" ht="15.75" customHeight="1">
      <c r="A75" s="19">
        <v>44576.0</v>
      </c>
      <c r="B75" s="7" t="str">
        <f>HYPERLINK("http://hcl.harvard.edu/","Harvard University")</f>
        <v>Harvard University</v>
      </c>
      <c r="C75" s="8" t="s">
        <v>10</v>
      </c>
      <c r="D75" s="7" t="str">
        <f>HYPERLINK("https://library.harvard.edu/about/grants-fellowships/woodberry-poetry-room-fellowship","Woodberry Poetry Room Creative Fellowship")</f>
        <v>Woodberry Poetry Room Creative Fellowship</v>
      </c>
      <c r="E75" s="18" t="s">
        <v>233</v>
      </c>
      <c r="F75" s="9" t="s">
        <v>34</v>
      </c>
      <c r="G75" s="9"/>
      <c r="H75" s="23">
        <v>4000.0</v>
      </c>
      <c r="I75" s="16" t="s">
        <v>242</v>
      </c>
      <c r="J75" s="5"/>
    </row>
    <row r="76" ht="15.75" customHeight="1">
      <c r="A76" s="19">
        <v>44941.0</v>
      </c>
      <c r="B76" s="7" t="str">
        <f>HYPERLINK("http://www.americanantiquarian.org/","American Antiquarian Society")</f>
        <v>American Antiquarian Society</v>
      </c>
      <c r="C76" s="8" t="s">
        <v>243</v>
      </c>
      <c r="D76" s="7" t="str">
        <f>HYPERLINK("http://www.americanantiquarian.org/longterm.htm","AAS-National Endowment for the Humanities Long-Term Fellowships")</f>
        <v>AAS-National Endowment for the Humanities Long-Term Fellowships</v>
      </c>
      <c r="E76" s="18" t="s">
        <v>128</v>
      </c>
      <c r="F76" s="9" t="s">
        <v>34</v>
      </c>
      <c r="G76" s="9"/>
      <c r="H76" s="9" t="s">
        <v>244</v>
      </c>
      <c r="I76" s="16" t="s">
        <v>245</v>
      </c>
      <c r="J76" s="5"/>
    </row>
    <row r="77" ht="15.75" customHeight="1">
      <c r="A77" s="19">
        <v>44576.0</v>
      </c>
      <c r="B77" s="7" t="str">
        <f>HYPERLINK("https://www.si.edu/","Smithsonian Institution")</f>
        <v>Smithsonian Institution</v>
      </c>
      <c r="C77" s="8" t="s">
        <v>41</v>
      </c>
      <c r="D77" s="13" t="s">
        <v>246</v>
      </c>
      <c r="E77" s="18" t="s">
        <v>61</v>
      </c>
      <c r="F77" s="9" t="s">
        <v>34</v>
      </c>
      <c r="G77" s="9"/>
      <c r="H77" s="23" t="s">
        <v>247</v>
      </c>
      <c r="I77" s="16" t="s">
        <v>248</v>
      </c>
      <c r="J77" s="5"/>
    </row>
    <row r="78" ht="15.75" customHeight="1">
      <c r="A78" s="19">
        <v>44941.0</v>
      </c>
      <c r="B78" s="7" t="str">
        <f t="shared" ref="B78:B79" si="5">HYPERLINK("http://www.winterthur.org/","Winterthur ")</f>
        <v>Winterthur </v>
      </c>
      <c r="C78" s="8" t="s">
        <v>16</v>
      </c>
      <c r="D78" s="13" t="s">
        <v>249</v>
      </c>
      <c r="E78" s="18" t="s">
        <v>128</v>
      </c>
      <c r="F78" s="9" t="s">
        <v>34</v>
      </c>
      <c r="G78" s="9"/>
      <c r="H78" s="9" t="s">
        <v>250</v>
      </c>
      <c r="I78" s="16" t="s">
        <v>251</v>
      </c>
      <c r="J78" s="5"/>
    </row>
    <row r="79" ht="15.75" customHeight="1">
      <c r="A79" s="19">
        <v>44941.0</v>
      </c>
      <c r="B79" s="7" t="str">
        <f t="shared" si="5"/>
        <v>Winterthur </v>
      </c>
      <c r="C79" s="8" t="s">
        <v>16</v>
      </c>
      <c r="D79" s="13" t="s">
        <v>252</v>
      </c>
      <c r="E79" s="18" t="s">
        <v>233</v>
      </c>
      <c r="F79" s="9" t="s">
        <v>34</v>
      </c>
      <c r="G79" s="9"/>
      <c r="H79" s="9" t="s">
        <v>250</v>
      </c>
      <c r="I79" s="27" t="s">
        <v>253</v>
      </c>
      <c r="J79" s="5"/>
    </row>
    <row r="80" ht="15.75" customHeight="1">
      <c r="A80" s="19">
        <v>44576.0</v>
      </c>
      <c r="B80" s="7" t="str">
        <f>HYPERLINK("http://www.archives.nysed.gov/","New York State Archives")</f>
        <v>New York State Archives</v>
      </c>
      <c r="C80" s="8" t="s">
        <v>41</v>
      </c>
      <c r="D80" s="7" t="s">
        <v>254</v>
      </c>
      <c r="E80" s="18" t="s">
        <v>45</v>
      </c>
      <c r="F80" s="18" t="s">
        <v>34</v>
      </c>
      <c r="G80" s="18"/>
      <c r="H80" s="23">
        <v>250.0</v>
      </c>
      <c r="I80" s="27" t="s">
        <v>255</v>
      </c>
      <c r="J80" s="5"/>
    </row>
    <row r="81" ht="15.75" customHeight="1">
      <c r="A81" s="19">
        <v>44941.0</v>
      </c>
      <c r="B81" s="7" t="str">
        <f>HYPERLINK("https://asecs.press.jhu.edu/","Johns Hopkins American Society for Eighteenth-Century Studies")</f>
        <v>Johns Hopkins American Society for Eighteenth-Century Studies</v>
      </c>
      <c r="C81" s="8" t="s">
        <v>10</v>
      </c>
      <c r="D81" s="47" t="s">
        <v>256</v>
      </c>
      <c r="E81" s="18" t="s">
        <v>142</v>
      </c>
      <c r="F81" s="9" t="s">
        <v>224</v>
      </c>
      <c r="G81" s="26"/>
      <c r="H81" s="23">
        <v>1000.0</v>
      </c>
      <c r="I81" s="27" t="s">
        <v>257</v>
      </c>
      <c r="J81" s="5"/>
    </row>
    <row r="82" ht="15.75" customHeight="1">
      <c r="A82" s="19">
        <v>45170.0</v>
      </c>
      <c r="B82" s="7" t="str">
        <f>HYPERLINK("http://www.kressfoundation.org/","Kress Foundation")</f>
        <v>Kress Foundation</v>
      </c>
      <c r="C82" s="8" t="s">
        <v>16</v>
      </c>
      <c r="D82" s="22" t="s">
        <v>258</v>
      </c>
      <c r="E82" s="18" t="s">
        <v>65</v>
      </c>
      <c r="F82" s="9" t="s">
        <v>259</v>
      </c>
      <c r="G82" s="26"/>
      <c r="H82" s="9"/>
      <c r="I82" s="27" t="s">
        <v>260</v>
      </c>
      <c r="J82" s="5"/>
    </row>
    <row r="83" ht="15.75" customHeight="1">
      <c r="A83" s="19">
        <v>44895.0</v>
      </c>
      <c r="B83" s="14" t="s">
        <v>40</v>
      </c>
      <c r="C83" s="14" t="s">
        <v>41</v>
      </c>
      <c r="D83" s="13"/>
      <c r="E83" s="18"/>
      <c r="F83" s="9"/>
      <c r="G83" s="9"/>
      <c r="H83" s="9"/>
      <c r="I83" s="16" t="s">
        <v>261</v>
      </c>
      <c r="J83" s="5"/>
    </row>
    <row r="84" ht="15.75" customHeight="1">
      <c r="A84" s="19">
        <v>45028.0</v>
      </c>
      <c r="B84" s="14" t="s">
        <v>262</v>
      </c>
      <c r="C84" s="14" t="s">
        <v>16</v>
      </c>
      <c r="D84" s="13" t="s">
        <v>263</v>
      </c>
      <c r="E84" s="18"/>
      <c r="F84" s="9"/>
      <c r="G84" s="9"/>
      <c r="H84" s="9"/>
      <c r="I84" s="16" t="s">
        <v>264</v>
      </c>
      <c r="J84" s="5"/>
    </row>
    <row r="85" ht="15.75" customHeight="1">
      <c r="A85" s="19">
        <v>45352.0</v>
      </c>
      <c r="B85" s="7" t="str">
        <f t="shared" ref="B85:B87" si="6">HYPERLINK("https://www.nsf.gov/","National Science Foundation")</f>
        <v>National Science Foundation</v>
      </c>
      <c r="C85" s="14" t="s">
        <v>41</v>
      </c>
      <c r="D85" s="13" t="s">
        <v>265</v>
      </c>
      <c r="E85" s="18"/>
      <c r="F85" s="9"/>
      <c r="G85" s="9"/>
      <c r="H85" s="9"/>
      <c r="I85" s="16" t="s">
        <v>266</v>
      </c>
      <c r="J85" s="5"/>
    </row>
    <row r="86" ht="15.75" customHeight="1">
      <c r="A86" s="19">
        <v>45141.0</v>
      </c>
      <c r="B86" s="7" t="str">
        <f t="shared" si="6"/>
        <v>National Science Foundation</v>
      </c>
      <c r="C86" s="8" t="s">
        <v>41</v>
      </c>
      <c r="D86" s="13" t="s">
        <v>267</v>
      </c>
      <c r="E86" s="18"/>
      <c r="F86" s="9"/>
      <c r="G86" s="9"/>
      <c r="H86" s="9"/>
      <c r="I86" s="16" t="s">
        <v>268</v>
      </c>
      <c r="J86" s="5"/>
    </row>
    <row r="87" ht="15.75" customHeight="1">
      <c r="A87" s="19">
        <v>45307.0</v>
      </c>
      <c r="B87" s="7" t="str">
        <f t="shared" si="6"/>
        <v>National Science Foundation</v>
      </c>
      <c r="C87" s="8" t="s">
        <v>41</v>
      </c>
      <c r="D87" s="7" t="str">
        <f>HYPERLINK("https://www.nsf.gov/funding/pgm_summ.jsp?pims_id=5265&amp;WT.mc_id=USNSF_39&amp;WT.mc_ev=click","Research on the Science and Technology Enterprise:  Statistics and Surveys")</f>
        <v>Research on the Science and Technology Enterprise:  Statistics and Surveys</v>
      </c>
      <c r="E87" s="18" t="s">
        <v>77</v>
      </c>
      <c r="F87" s="9" t="s">
        <v>90</v>
      </c>
      <c r="G87" s="9"/>
      <c r="H87" s="9"/>
      <c r="I87" s="27" t="s">
        <v>269</v>
      </c>
      <c r="J87" s="5"/>
    </row>
    <row r="88" ht="15.75" customHeight="1">
      <c r="A88" s="19">
        <v>45000.0</v>
      </c>
      <c r="B88" s="7" t="str">
        <f>HYPERLINK("https://www.aclclassics.org/","American Classical League")</f>
        <v>American Classical League</v>
      </c>
      <c r="C88" s="8" t="s">
        <v>16</v>
      </c>
      <c r="D88" s="7" t="str">
        <f>HYPERLINK("https://www.aclclassics.org/Awards-Scholarships/ACL-Scholarships","American Classical League Scholarships")</f>
        <v>American Classical League Scholarships</v>
      </c>
      <c r="E88" s="18" t="s">
        <v>163</v>
      </c>
      <c r="F88" s="9"/>
      <c r="G88" s="9"/>
      <c r="H88" s="9" t="s">
        <v>270</v>
      </c>
      <c r="I88" s="27" t="s">
        <v>271</v>
      </c>
      <c r="J88" s="5"/>
    </row>
    <row r="89" ht="15.75" customHeight="1">
      <c r="A89" s="19">
        <v>44609.0</v>
      </c>
      <c r="B89" s="7" t="str">
        <f>HYPERLINK("https://www.societyforfrenchhistoricalstudies.net/","Society for French Historical Studies")</f>
        <v>Society for French Historical Studies</v>
      </c>
      <c r="C89" s="8" t="s">
        <v>16</v>
      </c>
      <c r="D89" s="7" t="str">
        <f>HYPERLINK("https://www.societyforfrenchhistoricalstudies.net/institut-fund","Research Fellowship")</f>
        <v>Research Fellowship</v>
      </c>
      <c r="E89" s="18" t="s">
        <v>99</v>
      </c>
      <c r="F89" s="18" t="s">
        <v>191</v>
      </c>
      <c r="G89" s="18" t="s">
        <v>272</v>
      </c>
      <c r="H89" s="9" t="s">
        <v>273</v>
      </c>
      <c r="I89" s="27" t="s">
        <v>274</v>
      </c>
      <c r="J89" s="5"/>
    </row>
    <row r="90" ht="15.75" customHeight="1">
      <c r="A90" s="19">
        <v>45292.0</v>
      </c>
      <c r="B90" s="7" t="str">
        <f>HYPERLINK("https://www.societyforfrenchhistoricalstudies.net/","Society for French Hitorical Studies")</f>
        <v>Society for French Hitorical Studies</v>
      </c>
      <c r="C90" s="8" t="s">
        <v>243</v>
      </c>
      <c r="D90" s="7" t="s">
        <v>275</v>
      </c>
      <c r="E90" s="18" t="s">
        <v>99</v>
      </c>
      <c r="F90" s="9" t="s">
        <v>71</v>
      </c>
      <c r="G90" s="9" t="s">
        <v>276</v>
      </c>
      <c r="H90" s="9"/>
      <c r="I90" s="27" t="s">
        <v>277</v>
      </c>
      <c r="J90" s="5"/>
    </row>
    <row r="91" ht="15.75" customHeight="1">
      <c r="A91" s="19">
        <v>44575.0</v>
      </c>
      <c r="B91" s="7" t="str">
        <f>HYPERLINK("http://hcl.harvard.edu/","Harvard Houghton LIbrary")</f>
        <v>Harvard Houghton LIbrary</v>
      </c>
      <c r="C91" s="8" t="s">
        <v>10</v>
      </c>
      <c r="D91" s="7" t="str">
        <f>HYPERLINK("https://library.harvard.edu/about/grants-fellowships/houghton-library-visiting-fellowships","Houghton Library Visiting Fellowship")</f>
        <v>Houghton Library Visiting Fellowship</v>
      </c>
      <c r="E91" s="18" t="s">
        <v>45</v>
      </c>
      <c r="F91" s="18" t="s">
        <v>34</v>
      </c>
      <c r="G91" s="18"/>
      <c r="H91" s="23">
        <v>3600.0</v>
      </c>
      <c r="I91" s="27" t="s">
        <v>278</v>
      </c>
      <c r="J91" s="5"/>
    </row>
    <row r="92" ht="15.75" customHeight="1">
      <c r="A92" s="19">
        <v>45245.0</v>
      </c>
      <c r="B92" s="7" t="str">
        <f>HYPERLINK("https://www.nsf.gov/","National Science Foundation")</f>
        <v>National Science Foundation</v>
      </c>
      <c r="C92" s="8" t="s">
        <v>41</v>
      </c>
      <c r="D92" s="13" t="s">
        <v>279</v>
      </c>
      <c r="E92" s="18" t="s">
        <v>77</v>
      </c>
      <c r="F92" s="18" t="s">
        <v>280</v>
      </c>
      <c r="G92" s="18"/>
      <c r="H92" s="9"/>
      <c r="I92" s="27" t="s">
        <v>281</v>
      </c>
      <c r="J92" s="5"/>
    </row>
    <row r="93" ht="15.75" customHeight="1">
      <c r="A93" s="19">
        <v>45047.0</v>
      </c>
      <c r="B93" s="7" t="str">
        <f>HYPERLINK("https://www.wawh.org/","Western Association of Women Historians")</f>
        <v>Western Association of Women Historians</v>
      </c>
      <c r="C93" s="48" t="s">
        <v>16</v>
      </c>
      <c r="D93" s="7" t="s">
        <v>282</v>
      </c>
      <c r="E93" s="18" t="s">
        <v>61</v>
      </c>
      <c r="F93" s="18" t="s">
        <v>138</v>
      </c>
      <c r="G93" s="10"/>
      <c r="H93" s="9"/>
      <c r="I93" s="27" t="s">
        <v>283</v>
      </c>
      <c r="J93" s="5"/>
    </row>
    <row r="94" ht="15.75" customHeight="1">
      <c r="A94" s="19">
        <v>45028.0</v>
      </c>
      <c r="B94" s="7" t="str">
        <f>HYPERLINK("https://www.nationalgeographic.org","National Geographic Society")</f>
        <v>National Geographic Society</v>
      </c>
      <c r="C94" s="8" t="s">
        <v>16</v>
      </c>
      <c r="D94" s="49" t="s">
        <v>284</v>
      </c>
      <c r="E94" s="18" t="s">
        <v>45</v>
      </c>
      <c r="F94" s="18" t="s">
        <v>143</v>
      </c>
      <c r="G94" s="9"/>
      <c r="H94" s="9"/>
      <c r="I94" s="27" t="s">
        <v>285</v>
      </c>
      <c r="J94" s="5"/>
    </row>
    <row r="95" ht="15.75" customHeight="1">
      <c r="A95" s="19">
        <v>44585.0</v>
      </c>
      <c r="B95" s="7" t="str">
        <f>HYPERLINK("http://americanvoices.org/","American Voices Abroad")</f>
        <v>American Voices Abroad</v>
      </c>
      <c r="C95" s="8" t="s">
        <v>16</v>
      </c>
      <c r="D95" s="13" t="s">
        <v>286</v>
      </c>
      <c r="E95" s="18" t="s">
        <v>287</v>
      </c>
      <c r="F95" s="9" t="s">
        <v>288</v>
      </c>
      <c r="G95" s="9"/>
      <c r="H95" s="50" t="s">
        <v>289</v>
      </c>
      <c r="I95" s="16" t="s">
        <v>290</v>
      </c>
      <c r="J95" s="5"/>
    </row>
    <row r="96" ht="15.75" customHeight="1">
      <c r="A96" s="19">
        <v>44221.0</v>
      </c>
      <c r="B96" s="13" t="s">
        <v>291</v>
      </c>
      <c r="C96" s="14" t="s">
        <v>16</v>
      </c>
      <c r="D96" s="13" t="s">
        <v>292</v>
      </c>
      <c r="E96" s="6" t="s">
        <v>128</v>
      </c>
      <c r="F96" s="51" t="s">
        <v>66</v>
      </c>
      <c r="G96" s="15"/>
      <c r="H96" s="50" t="s">
        <v>293</v>
      </c>
      <c r="I96" s="16" t="s">
        <v>294</v>
      </c>
      <c r="J96" s="5"/>
    </row>
    <row r="97" ht="15.75" customHeight="1">
      <c r="A97" s="19">
        <v>44221.0</v>
      </c>
      <c r="B97" s="7" t="str">
        <f>HYPERLINK("https://www.caorc.org/","Council of American Overseas Research Centers (CAORC)")</f>
        <v>Council of American Overseas Research Centers (CAORC)</v>
      </c>
      <c r="C97" s="8" t="s">
        <v>16</v>
      </c>
      <c r="D97" s="17" t="s">
        <v>295</v>
      </c>
      <c r="E97" s="18" t="s">
        <v>24</v>
      </c>
      <c r="F97" s="15" t="s">
        <v>296</v>
      </c>
      <c r="G97" s="15"/>
      <c r="H97" s="9" t="s">
        <v>297</v>
      </c>
      <c r="I97" s="16" t="s">
        <v>298</v>
      </c>
      <c r="J97" s="5"/>
    </row>
    <row r="98" ht="15.75" customHeight="1">
      <c r="A98" s="33">
        <v>44576.0</v>
      </c>
      <c r="B98" s="45" t="str">
        <f>HYPERLINK("https://www.sciencehistory.org/","Science History Institute")</f>
        <v>Science History Institute</v>
      </c>
      <c r="C98" s="46" t="s">
        <v>16</v>
      </c>
      <c r="D98" s="45" t="s">
        <v>299</v>
      </c>
      <c r="E98" s="35" t="s">
        <v>300</v>
      </c>
      <c r="F98" s="35" t="s">
        <v>301</v>
      </c>
      <c r="G98" s="35" t="s">
        <v>302</v>
      </c>
      <c r="H98" s="52" t="s">
        <v>303</v>
      </c>
      <c r="I98" s="39" t="s">
        <v>304</v>
      </c>
      <c r="J98" s="5"/>
    </row>
    <row r="99" ht="15.75" customHeight="1">
      <c r="A99" s="12">
        <v>45126.0</v>
      </c>
      <c r="B99" s="7" t="s">
        <v>124</v>
      </c>
      <c r="C99" s="14" t="s">
        <v>41</v>
      </c>
      <c r="D99" s="13" t="s">
        <v>305</v>
      </c>
      <c r="E99" s="6" t="s">
        <v>306</v>
      </c>
      <c r="F99" s="9"/>
      <c r="G99" s="9"/>
      <c r="H99" s="9"/>
      <c r="I99" s="16" t="s">
        <v>307</v>
      </c>
      <c r="J99" s="5"/>
    </row>
    <row r="100" ht="15.75" customHeight="1">
      <c r="A100" s="12">
        <v>45012.0</v>
      </c>
      <c r="B100" s="7" t="s">
        <v>124</v>
      </c>
      <c r="C100" s="8" t="s">
        <v>41</v>
      </c>
      <c r="D100" s="13" t="s">
        <v>308</v>
      </c>
      <c r="E100" s="18" t="s">
        <v>188</v>
      </c>
      <c r="F100" s="9" t="s">
        <v>309</v>
      </c>
      <c r="G100" s="9"/>
      <c r="H100" s="9"/>
      <c r="I100" s="27" t="s">
        <v>310</v>
      </c>
      <c r="J100" s="5"/>
    </row>
    <row r="101" ht="15.75" customHeight="1">
      <c r="A101" s="6" t="s">
        <v>68</v>
      </c>
      <c r="B101" s="7" t="str">
        <f>HYPERLINK("https://www.simonsfoundation.org/","Simons Foundation")</f>
        <v>Simons Foundation</v>
      </c>
      <c r="C101" s="8" t="s">
        <v>16</v>
      </c>
      <c r="D101" s="7" t="str">
        <f>HYPERLINK("https://www.simonsfoundation.org/grant/collaboration-grants-for-mathematicians/","Collaboration Grants for Mathematicians")</f>
        <v>Collaboration Grants for Mathematicians</v>
      </c>
      <c r="E101" s="18" t="s">
        <v>106</v>
      </c>
      <c r="F101" s="15" t="s">
        <v>311</v>
      </c>
      <c r="G101" s="15"/>
      <c r="H101" s="23">
        <v>8400.0</v>
      </c>
      <c r="I101" s="16" t="s">
        <v>312</v>
      </c>
      <c r="J101" s="5"/>
    </row>
    <row r="102" ht="15.75" customHeight="1">
      <c r="A102" s="19">
        <v>44874.0</v>
      </c>
      <c r="B102" s="13" t="s">
        <v>313</v>
      </c>
      <c r="C102" s="14" t="s">
        <v>16</v>
      </c>
      <c r="D102" s="13" t="s">
        <v>314</v>
      </c>
      <c r="E102" s="18"/>
      <c r="F102" s="9"/>
      <c r="G102" s="9"/>
      <c r="H102" s="9"/>
      <c r="I102" s="16" t="s">
        <v>315</v>
      </c>
      <c r="J102" s="5"/>
    </row>
    <row r="103" ht="15.75" customHeight="1">
      <c r="A103" s="19">
        <v>44589.0</v>
      </c>
      <c r="B103" s="7" t="str">
        <f>HYPERLINK("https://psscra.org/","Pershing Square Sohn Cancer Research Alliance")</f>
        <v>Pershing Square Sohn Cancer Research Alliance</v>
      </c>
      <c r="C103" s="8" t="s">
        <v>16</v>
      </c>
      <c r="D103" s="7" t="s">
        <v>316</v>
      </c>
      <c r="E103" s="18" t="s">
        <v>77</v>
      </c>
      <c r="F103" s="9" t="s">
        <v>90</v>
      </c>
      <c r="G103" s="9"/>
      <c r="H103" s="9" t="s">
        <v>317</v>
      </c>
      <c r="I103" s="27" t="s">
        <v>318</v>
      </c>
      <c r="J103" s="5"/>
    </row>
    <row r="104" ht="15.75" customHeight="1">
      <c r="A104" s="30">
        <v>45030.0</v>
      </c>
      <c r="B104" s="13" t="s">
        <v>319</v>
      </c>
      <c r="C104" s="14" t="s">
        <v>16</v>
      </c>
      <c r="D104" s="22" t="s">
        <v>320</v>
      </c>
      <c r="E104" s="6" t="s">
        <v>128</v>
      </c>
      <c r="F104" s="50" t="s">
        <v>46</v>
      </c>
      <c r="G104" s="9"/>
      <c r="H104" s="23"/>
      <c r="I104" s="53" t="s">
        <v>321</v>
      </c>
      <c r="J104" s="5"/>
    </row>
    <row r="105" ht="15.75" customHeight="1">
      <c r="A105" s="6" t="s">
        <v>322</v>
      </c>
      <c r="B105" s="7" t="str">
        <f>HYPERLINK("http://www.oscars.org/","Academy of Motion Picture Arts and Science")</f>
        <v>Academy of Motion Picture Arts and Science</v>
      </c>
      <c r="C105" s="8" t="s">
        <v>16</v>
      </c>
      <c r="D105" s="7" t="str">
        <f>HYPERLINK("http://www.oscars.org/education-grants/academy-film-scholars","Film Scholars Program")</f>
        <v>Film Scholars Program</v>
      </c>
      <c r="E105" s="18" t="s">
        <v>323</v>
      </c>
      <c r="F105" s="9" t="s">
        <v>46</v>
      </c>
      <c r="G105" s="9" t="s">
        <v>324</v>
      </c>
      <c r="H105" s="23">
        <v>25000.0</v>
      </c>
      <c r="I105" s="16" t="s">
        <v>325</v>
      </c>
      <c r="J105" s="5"/>
    </row>
    <row r="106" ht="15.75" customHeight="1">
      <c r="A106" s="19">
        <v>45321.0</v>
      </c>
      <c r="B106" s="7" t="str">
        <f>HYPERLINK("https://camws.org/","Classical Association of the Middle West and South")</f>
        <v>Classical Association of the Middle West and South</v>
      </c>
      <c r="C106" s="8" t="s">
        <v>16</v>
      </c>
      <c r="D106" s="7" t="str">
        <f>HYPERLINK("https://camws.org/awards/excavation.php","Excavation/Field School Award")</f>
        <v>Excavation/Field School Award</v>
      </c>
      <c r="E106" s="18" t="s">
        <v>163</v>
      </c>
      <c r="F106" s="9"/>
      <c r="G106" s="9"/>
      <c r="H106" s="23">
        <v>2000.0</v>
      </c>
      <c r="I106" s="27" t="s">
        <v>326</v>
      </c>
      <c r="J106" s="5"/>
    </row>
    <row r="107" ht="15.75" customHeight="1">
      <c r="A107" s="19">
        <v>44957.0</v>
      </c>
      <c r="B107" s="7" t="str">
        <f>HYPERLINK("https://www.apsanet.org/","American Political Science Association")</f>
        <v>American Political Science Association</v>
      </c>
      <c r="C107" s="8" t="s">
        <v>16</v>
      </c>
      <c r="D107" s="17" t="s">
        <v>327</v>
      </c>
      <c r="E107" s="18" t="s">
        <v>328</v>
      </c>
      <c r="F107" s="9" t="s">
        <v>138</v>
      </c>
      <c r="G107" s="9"/>
      <c r="H107" s="9"/>
      <c r="I107" s="16" t="s">
        <v>329</v>
      </c>
      <c r="J107" s="5"/>
    </row>
    <row r="108" ht="15.75" customHeight="1">
      <c r="A108" s="19">
        <v>44957.0</v>
      </c>
      <c r="B108" s="7" t="str">
        <f>HYPERLINK("http://aimsnorthafrica.org/","American Institute for Maghrib Studies")</f>
        <v>American Institute for Maghrib Studies</v>
      </c>
      <c r="C108" s="8" t="s">
        <v>10</v>
      </c>
      <c r="D108" s="7" t="s">
        <v>330</v>
      </c>
      <c r="E108" s="18" t="s">
        <v>331</v>
      </c>
      <c r="F108" s="9" t="s">
        <v>90</v>
      </c>
      <c r="G108" s="26"/>
      <c r="H108" s="9"/>
      <c r="I108" s="16" t="s">
        <v>332</v>
      </c>
      <c r="J108" s="5"/>
    </row>
    <row r="109" ht="15.75" customHeight="1">
      <c r="A109" s="19">
        <v>45322.0</v>
      </c>
      <c r="B109" s="7" t="str">
        <f>HYPERLINK("https://demingfund.org/","Barbara Deming Memorial Fund")</f>
        <v>Barbara Deming Memorial Fund</v>
      </c>
      <c r="C109" s="8" t="s">
        <v>16</v>
      </c>
      <c r="D109" s="17" t="s">
        <v>333</v>
      </c>
      <c r="E109" s="18" t="s">
        <v>17</v>
      </c>
      <c r="F109" s="9" t="s">
        <v>334</v>
      </c>
      <c r="G109" s="9"/>
      <c r="H109" s="9" t="s">
        <v>335</v>
      </c>
      <c r="I109" s="27" t="s">
        <v>336</v>
      </c>
      <c r="J109" s="5"/>
    </row>
    <row r="110" ht="15.75" customHeight="1">
      <c r="A110" s="19">
        <v>45016.0</v>
      </c>
      <c r="B110" s="22" t="s">
        <v>337</v>
      </c>
      <c r="C110" s="8" t="s">
        <v>16</v>
      </c>
      <c r="D110" s="22" t="s">
        <v>338</v>
      </c>
      <c r="E110" s="18" t="s">
        <v>45</v>
      </c>
      <c r="F110" s="9" t="s">
        <v>90</v>
      </c>
      <c r="G110" s="26"/>
      <c r="H110" s="9" t="s">
        <v>339</v>
      </c>
      <c r="I110" s="16" t="s">
        <v>340</v>
      </c>
      <c r="J110" s="5"/>
    </row>
    <row r="111" ht="15.75" customHeight="1">
      <c r="A111" s="30">
        <v>45322.0</v>
      </c>
      <c r="B111" s="7" t="str">
        <f>HYPERLINK("https://www.sas.ac.uk/","Univeristy of London, School of Advanced Study")</f>
        <v>Univeristy of London, School of Advanced Study</v>
      </c>
      <c r="C111" s="8" t="s">
        <v>10</v>
      </c>
      <c r="D111" s="7" t="str">
        <f>HYPERLINK("http://ials.sas.ac.uk/fellowships/institute-advanced-legal-studies-visiting-research-fellowship-programme","Institute of Advanced Legal Studies Visiting Research Fellowship Programme")</f>
        <v>Institute of Advanced Legal Studies Visiting Research Fellowship Programme</v>
      </c>
      <c r="E111" s="18" t="s">
        <v>128</v>
      </c>
      <c r="F111" s="9" t="s">
        <v>87</v>
      </c>
      <c r="G111" s="9"/>
      <c r="H111" s="23" t="s">
        <v>341</v>
      </c>
      <c r="I111" s="54" t="s">
        <v>342</v>
      </c>
      <c r="J111" s="5"/>
    </row>
    <row r="112" ht="15.75" customHeight="1">
      <c r="A112" s="19">
        <v>44593.0</v>
      </c>
      <c r="B112" s="7" t="str">
        <f>HYPERLINK("https://cmes.fas.harvard.edu/home","Center for Middle Eastern Studies, Harvard University")</f>
        <v>Center for Middle Eastern Studies, Harvard University</v>
      </c>
      <c r="C112" s="8" t="s">
        <v>10</v>
      </c>
      <c r="D112" s="7" t="str">
        <f>HYPERLINK("https://cmes.fas.harvard.edu/vr-program","Visiting Researcher Program")</f>
        <v>Visiting Researcher Program</v>
      </c>
      <c r="E112" s="18" t="s">
        <v>55</v>
      </c>
      <c r="F112" s="9" t="s">
        <v>34</v>
      </c>
      <c r="G112" s="9"/>
      <c r="H112" s="9" t="s">
        <v>100</v>
      </c>
      <c r="I112" s="16" t="s">
        <v>343</v>
      </c>
      <c r="J112" s="5"/>
    </row>
    <row r="113" ht="15.75" customHeight="1">
      <c r="A113" s="55" t="s">
        <v>68</v>
      </c>
      <c r="B113" s="7" t="str">
        <f>HYPERLINK("http://www.acha.org/","American College Health Association")</f>
        <v>American College Health Association</v>
      </c>
      <c r="C113" s="8" t="s">
        <v>16</v>
      </c>
      <c r="D113" s="7" t="s">
        <v>344</v>
      </c>
      <c r="E113" s="18" t="s">
        <v>345</v>
      </c>
      <c r="F113" s="9" t="s">
        <v>90</v>
      </c>
      <c r="G113" s="26"/>
      <c r="H113" s="23">
        <v>3500.0</v>
      </c>
      <c r="I113" s="16" t="s">
        <v>346</v>
      </c>
      <c r="J113" s="5"/>
    </row>
    <row r="114" ht="15.75" customHeight="1">
      <c r="A114" s="19">
        <v>44610.0</v>
      </c>
      <c r="B114" s="7" t="str">
        <f>HYPERLINK("https://humanities.uconn.edu/","Humanities Institute University of Connecticut")</f>
        <v>Humanities Institute University of Connecticut</v>
      </c>
      <c r="C114" s="8" t="s">
        <v>10</v>
      </c>
      <c r="D114" s="43" t="str">
        <f>HYPERLINK("https://humanities.uconn.edu/fellowships/become-a-fellow/","Residential Fellowships")</f>
        <v>Residential Fellowships</v>
      </c>
      <c r="E114" s="18" t="s">
        <v>128</v>
      </c>
      <c r="F114" s="9" t="s">
        <v>34</v>
      </c>
      <c r="G114" s="18" t="s">
        <v>347</v>
      </c>
      <c r="H114" s="23">
        <v>45000.0</v>
      </c>
      <c r="I114" s="27" t="s">
        <v>348</v>
      </c>
      <c r="J114" s="5"/>
    </row>
    <row r="115" ht="15.75" customHeight="1">
      <c r="A115" s="19">
        <v>44593.0</v>
      </c>
      <c r="B115" s="13" t="s">
        <v>349</v>
      </c>
      <c r="C115" s="14" t="s">
        <v>41</v>
      </c>
      <c r="D115" s="56" t="s">
        <v>299</v>
      </c>
      <c r="E115" s="6" t="s">
        <v>43</v>
      </c>
      <c r="F115" s="9"/>
      <c r="G115" s="18"/>
      <c r="H115" s="9"/>
      <c r="I115" s="16" t="s">
        <v>350</v>
      </c>
      <c r="J115" s="5"/>
    </row>
    <row r="116" ht="15.75" customHeight="1">
      <c r="A116" s="19">
        <v>44593.0</v>
      </c>
      <c r="B116" s="7" t="str">
        <f>HYPERLINK("http://www.artsci.uc.edu/","University of Cincinnati College of Arts and Sciences")</f>
        <v>University of Cincinnati College of Arts and Sciences</v>
      </c>
      <c r="C116" s="8" t="s">
        <v>10</v>
      </c>
      <c r="D116" s="56" t="s">
        <v>351</v>
      </c>
      <c r="E116" s="18" t="s">
        <v>128</v>
      </c>
      <c r="F116" s="9" t="s">
        <v>34</v>
      </c>
      <c r="G116" s="18"/>
      <c r="H116" s="9" t="s">
        <v>352</v>
      </c>
      <c r="I116" s="27" t="s">
        <v>353</v>
      </c>
      <c r="J116" s="5"/>
    </row>
    <row r="117" ht="15.75" customHeight="1">
      <c r="A117" s="19">
        <v>44593.0</v>
      </c>
      <c r="B117" s="7" t="str">
        <f>HYPERLINK("https://drclas.harvard.edu/","David Rockefeller Center  for Latin American Studies Harvard University")</f>
        <v>David Rockefeller Center  for Latin American Studies Harvard University</v>
      </c>
      <c r="C117" s="8" t="s">
        <v>10</v>
      </c>
      <c r="D117" s="13" t="s">
        <v>354</v>
      </c>
      <c r="E117" s="18" t="s">
        <v>355</v>
      </c>
      <c r="F117" s="9" t="s">
        <v>34</v>
      </c>
      <c r="G117" s="9"/>
      <c r="H117" s="9" t="s">
        <v>356</v>
      </c>
      <c r="I117" s="27" t="s">
        <v>357</v>
      </c>
      <c r="J117" s="5"/>
    </row>
    <row r="118" ht="15.75" customHeight="1">
      <c r="A118" s="30">
        <v>45329.0</v>
      </c>
      <c r="B118" s="7" t="str">
        <f>HYPERLINK("https://www.nsf.gov/","National Science Foundation")</f>
        <v>National Science Foundation</v>
      </c>
      <c r="C118" s="8" t="s">
        <v>41</v>
      </c>
      <c r="D118" s="43" t="str">
        <f>HYPERLINK("https://www.nsf.gov/funding/pgm_summ.jsp?pims_id=504833","Integrated Earth Systems")</f>
        <v>Integrated Earth Systems</v>
      </c>
      <c r="E118" s="18" t="s">
        <v>188</v>
      </c>
      <c r="F118" s="9" t="s">
        <v>90</v>
      </c>
      <c r="G118" s="9"/>
      <c r="H118" s="9"/>
      <c r="I118" s="27" t="s">
        <v>358</v>
      </c>
      <c r="J118" s="5"/>
    </row>
    <row r="119" ht="15.75" customHeight="1">
      <c r="A119" s="19">
        <v>44608.0</v>
      </c>
      <c r="B119" s="13" t="s">
        <v>359</v>
      </c>
      <c r="C119" s="14" t="s">
        <v>16</v>
      </c>
      <c r="D119" s="13" t="s">
        <v>360</v>
      </c>
      <c r="E119" s="6" t="s">
        <v>361</v>
      </c>
      <c r="F119" s="18"/>
      <c r="G119" s="18"/>
      <c r="H119" s="23"/>
      <c r="I119" s="16" t="s">
        <v>362</v>
      </c>
      <c r="J119" s="5"/>
    </row>
    <row r="120" ht="15.75" customHeight="1">
      <c r="A120" s="19">
        <v>44594.0</v>
      </c>
      <c r="B120" s="7" t="str">
        <f>HYPERLINK("http://www.dreyfus.org/","Dreyfus Foundation")</f>
        <v>Dreyfus Foundation</v>
      </c>
      <c r="C120" s="8" t="s">
        <v>16</v>
      </c>
      <c r="D120" s="24" t="str">
        <f>HYPERLINK("https://www.dreyfus.org/camille-dreyfus-teacher-scholar/","Camille Dreyfus Teacher-Scholar Awards")</f>
        <v>Camille Dreyfus Teacher-Scholar Awards</v>
      </c>
      <c r="E120" s="18" t="s">
        <v>77</v>
      </c>
      <c r="F120" s="18" t="s">
        <v>138</v>
      </c>
      <c r="G120" s="18" t="s">
        <v>363</v>
      </c>
      <c r="H120" s="23">
        <v>75000.0</v>
      </c>
      <c r="I120" s="27" t="s">
        <v>364</v>
      </c>
      <c r="J120" s="5"/>
    </row>
    <row r="121" ht="15.75" customHeight="1">
      <c r="A121" s="21">
        <v>44900.0</v>
      </c>
      <c r="B121" s="7" t="str">
        <f>HYPERLINK("https://www.sas.ac.uk/","Univeristy of London, School of Advanced Study")</f>
        <v>Univeristy of London, School of Advanced Study</v>
      </c>
      <c r="C121" s="8" t="s">
        <v>10</v>
      </c>
      <c r="D121" s="17" t="s">
        <v>365</v>
      </c>
      <c r="E121" s="18" t="s">
        <v>61</v>
      </c>
      <c r="F121" s="9" t="s">
        <v>87</v>
      </c>
      <c r="G121" s="9"/>
      <c r="H121" s="23" t="s">
        <v>366</v>
      </c>
      <c r="I121" s="54" t="s">
        <v>367</v>
      </c>
      <c r="J121" s="5"/>
    </row>
    <row r="122" ht="15.75" customHeight="1">
      <c r="A122" s="19">
        <v>44602.0</v>
      </c>
      <c r="B122" s="7" t="str">
        <f>HYPERLINK("https://www.nyfa.org/","New York Foundation for the Arts")</f>
        <v>New York Foundation for the Arts</v>
      </c>
      <c r="C122" s="8" t="s">
        <v>41</v>
      </c>
      <c r="D122" s="17" t="s">
        <v>368</v>
      </c>
      <c r="E122" s="18" t="s">
        <v>17</v>
      </c>
      <c r="F122" s="15" t="s">
        <v>66</v>
      </c>
      <c r="G122" s="15"/>
      <c r="H122" s="23">
        <v>7000.0</v>
      </c>
      <c r="I122" s="27" t="s">
        <v>369</v>
      </c>
      <c r="J122" s="5"/>
    </row>
    <row r="123" ht="15.75" customHeight="1">
      <c r="A123" s="57">
        <v>44621.0</v>
      </c>
      <c r="B123" s="7" t="str">
        <f>HYPERLINK("https://www.neh.gov/","National Endowment for the Humanitites")</f>
        <v>National Endowment for the Humanitites</v>
      </c>
      <c r="C123" s="8" t="s">
        <v>41</v>
      </c>
      <c r="D123" s="13" t="s">
        <v>370</v>
      </c>
      <c r="E123" s="18" t="s">
        <v>82</v>
      </c>
      <c r="F123" s="9" t="s">
        <v>371</v>
      </c>
      <c r="G123" s="10"/>
      <c r="H123" s="9"/>
      <c r="I123" s="27" t="s">
        <v>372</v>
      </c>
      <c r="J123" s="5"/>
    </row>
    <row r="124" ht="15.75" customHeight="1">
      <c r="A124" s="19">
        <v>44594.0</v>
      </c>
      <c r="B124" s="7" t="str">
        <f>HYPERLINK("http://saba.abainternational.org/","Society for the Advancement of Behavioral Analysis")</f>
        <v>Society for the Advancement of Behavioral Analysis</v>
      </c>
      <c r="C124" s="8" t="s">
        <v>16</v>
      </c>
      <c r="D124" s="7" t="s">
        <v>373</v>
      </c>
      <c r="E124" s="18" t="s">
        <v>235</v>
      </c>
      <c r="F124" s="18"/>
      <c r="G124" s="18"/>
      <c r="H124" s="23">
        <v>1000.0</v>
      </c>
      <c r="I124" s="16" t="s">
        <v>374</v>
      </c>
      <c r="J124" s="5"/>
    </row>
    <row r="125" ht="15.75" customHeight="1">
      <c r="A125" s="19">
        <v>44604.0</v>
      </c>
      <c r="B125" s="7" t="str">
        <f>HYPERLINK("https://www.maa.org/","Mathematical Association of America")</f>
        <v>Mathematical Association of America</v>
      </c>
      <c r="C125" s="8" t="s">
        <v>16</v>
      </c>
      <c r="D125" s="7" t="str">
        <f>HYPERLINK("https://www.maa.org/programs/maa-grants/women-and-mathematics-grants","Tensor Women and Mathematics Grants")</f>
        <v>Tensor Women and Mathematics Grants</v>
      </c>
      <c r="E125" s="18" t="s">
        <v>106</v>
      </c>
      <c r="F125" s="9" t="s">
        <v>221</v>
      </c>
      <c r="G125" s="9"/>
      <c r="H125" s="9" t="s">
        <v>375</v>
      </c>
      <c r="I125" s="16" t="s">
        <v>376</v>
      </c>
      <c r="J125" s="5"/>
    </row>
    <row r="126" ht="15.75" hidden="1" customHeight="1">
      <c r="A126" s="6" t="s">
        <v>237</v>
      </c>
      <c r="B126" s="7" t="str">
        <f>HYPERLINK("https://www.bwfund.org","Burroughs Wellcome Fund")</f>
        <v>Burroughs Wellcome Fund</v>
      </c>
      <c r="C126" s="8" t="s">
        <v>16</v>
      </c>
      <c r="D126" s="7" t="s">
        <v>377</v>
      </c>
      <c r="E126" s="18" t="s">
        <v>77</v>
      </c>
      <c r="F126" s="18" t="s">
        <v>90</v>
      </c>
      <c r="G126" s="18"/>
      <c r="H126" s="9" t="s">
        <v>378</v>
      </c>
      <c r="I126" s="27" t="s">
        <v>379</v>
      </c>
      <c r="J126" s="5"/>
    </row>
    <row r="127" ht="15.75" customHeight="1">
      <c r="A127" s="19">
        <v>44242.0</v>
      </c>
      <c r="B127" s="7" t="str">
        <f>HYPERLINK("https://www.si.edu/","Smithsonian Institution")</f>
        <v>Smithsonian Institution</v>
      </c>
      <c r="C127" s="8" t="s">
        <v>41</v>
      </c>
      <c r="D127" s="13" t="s">
        <v>380</v>
      </c>
      <c r="E127" s="18" t="s">
        <v>45</v>
      </c>
      <c r="F127" s="9" t="s">
        <v>34</v>
      </c>
      <c r="G127" s="9"/>
      <c r="H127" s="9" t="s">
        <v>381</v>
      </c>
      <c r="I127" s="16" t="s">
        <v>382</v>
      </c>
      <c r="J127" s="5"/>
    </row>
    <row r="128" ht="15.75" customHeight="1">
      <c r="A128" s="19">
        <v>44242.0</v>
      </c>
      <c r="B128" s="7" t="str">
        <f>HYPERLINK("https://pen.org/","PEN America")</f>
        <v>PEN America</v>
      </c>
      <c r="C128" s="8" t="s">
        <v>16</v>
      </c>
      <c r="D128" s="7" t="str">
        <f>HYPERLINK("https://pen.org/writing-justice/","Writing for Justice Fellowship")</f>
        <v>Writing for Justice Fellowship</v>
      </c>
      <c r="E128" s="18" t="s">
        <v>45</v>
      </c>
      <c r="F128" s="18" t="s">
        <v>143</v>
      </c>
      <c r="G128" s="18"/>
      <c r="H128" s="23">
        <v>10000.0</v>
      </c>
      <c r="I128" s="16" t="s">
        <v>383</v>
      </c>
      <c r="J128" s="5"/>
    </row>
    <row r="129" ht="15.75" customHeight="1">
      <c r="A129" s="19">
        <v>44606.0</v>
      </c>
      <c r="B129" s="7" t="str">
        <f>HYPERLINK("http://cals.la.psu.edu/","Center for American Literary Studies Penn State")</f>
        <v>Center for American Literary Studies Penn State</v>
      </c>
      <c r="C129" s="8" t="s">
        <v>10</v>
      </c>
      <c r="D129" s="7" t="str">
        <f>HYPERLINK("http://cals.la.psu.edu/programs-series/first-book-institute","First Book Institute")</f>
        <v>First Book Institute</v>
      </c>
      <c r="E129" s="18" t="s">
        <v>142</v>
      </c>
      <c r="F129" s="9" t="s">
        <v>384</v>
      </c>
      <c r="G129" s="9"/>
      <c r="H129" s="23">
        <v>1500.0</v>
      </c>
      <c r="I129" s="16" t="s">
        <v>385</v>
      </c>
      <c r="J129" s="5"/>
    </row>
    <row r="130" ht="15.75" customHeight="1">
      <c r="A130" s="19">
        <v>45337.0</v>
      </c>
      <c r="B130" s="32" t="s">
        <v>386</v>
      </c>
      <c r="C130" s="8" t="s">
        <v>41</v>
      </c>
      <c r="D130" s="32" t="s">
        <v>387</v>
      </c>
      <c r="E130" s="18" t="s">
        <v>388</v>
      </c>
      <c r="F130" s="9" t="s">
        <v>90</v>
      </c>
      <c r="G130" s="9"/>
      <c r="H130" s="9" t="s">
        <v>389</v>
      </c>
      <c r="I130" s="27" t="s">
        <v>390</v>
      </c>
      <c r="J130" s="5"/>
    </row>
    <row r="131" ht="15.75" customHeight="1">
      <c r="A131" s="19">
        <v>44972.0</v>
      </c>
      <c r="B131" s="7" t="str">
        <f>HYPERLINK("https://nyscf.org","NY Stem Cell Foundation")</f>
        <v>NY Stem Cell Foundation</v>
      </c>
      <c r="C131" s="8" t="s">
        <v>16</v>
      </c>
      <c r="D131" s="7" t="str">
        <f>HYPERLINK("https://nyscf.org/programs/extramural-grants/applicants/stem-cell-investigator-awards/","Stem Cell Investigator Awards")</f>
        <v>Stem Cell Investigator Awards</v>
      </c>
      <c r="E131" s="18" t="s">
        <v>77</v>
      </c>
      <c r="F131" s="18" t="s">
        <v>138</v>
      </c>
      <c r="G131" s="18" t="s">
        <v>72</v>
      </c>
      <c r="H131" s="9" t="s">
        <v>391</v>
      </c>
      <c r="I131" s="16" t="s">
        <v>392</v>
      </c>
      <c r="J131" s="5"/>
    </row>
    <row r="132" ht="15.75" customHeight="1">
      <c r="A132" s="19">
        <v>44244.0</v>
      </c>
      <c r="B132" s="7" t="str">
        <f>HYPERLINK("https://www.opensocietyfoundations.org","Open Society Foundations ")</f>
        <v>Open Society Foundations </v>
      </c>
      <c r="C132" s="8" t="s">
        <v>16</v>
      </c>
      <c r="D132" s="7" t="s">
        <v>393</v>
      </c>
      <c r="E132" s="18" t="s">
        <v>394</v>
      </c>
      <c r="F132" s="9" t="s">
        <v>66</v>
      </c>
      <c r="G132" s="9"/>
      <c r="H132" s="9" t="s">
        <v>395</v>
      </c>
      <c r="I132" s="27" t="s">
        <v>396</v>
      </c>
      <c r="J132" s="5"/>
    </row>
    <row r="133" ht="15.75" customHeight="1">
      <c r="A133" s="19">
        <v>44973.0</v>
      </c>
      <c r="B133" s="7" t="str">
        <f>HYPERLINK("https://www.ias.edu/","Institutes for Advanced Study")</f>
        <v>Institutes for Advanced Study</v>
      </c>
      <c r="C133" s="8" t="s">
        <v>10</v>
      </c>
      <c r="D133" s="7" t="str">
        <f>HYPERLINK("https://www.math.ias.edu/wam","Women and Mathematics")</f>
        <v>Women and Mathematics</v>
      </c>
      <c r="E133" s="18" t="s">
        <v>132</v>
      </c>
      <c r="F133" s="9" t="s">
        <v>90</v>
      </c>
      <c r="G133" s="18"/>
      <c r="H133" s="9"/>
      <c r="I133" s="58" t="s">
        <v>397</v>
      </c>
      <c r="J133" s="5"/>
    </row>
    <row r="134" ht="15.75" customHeight="1">
      <c r="A134" s="12">
        <v>44244.0</v>
      </c>
      <c r="B134" s="7" t="str">
        <f>HYPERLINK("http://NSf.gov","National Science Foundation")</f>
        <v>National Science Foundation</v>
      </c>
      <c r="C134" s="8" t="s">
        <v>41</v>
      </c>
      <c r="D134" s="13" t="s">
        <v>398</v>
      </c>
      <c r="E134" s="18" t="s">
        <v>399</v>
      </c>
      <c r="F134" s="9" t="s">
        <v>400</v>
      </c>
      <c r="G134" s="9"/>
      <c r="H134" s="9"/>
      <c r="I134" s="27" t="s">
        <v>401</v>
      </c>
      <c r="J134" s="5"/>
    </row>
    <row r="135" ht="15.75" customHeight="1">
      <c r="A135" s="30">
        <v>44592.0</v>
      </c>
      <c r="B135" s="7" t="str">
        <f>HYPERLINK("http://jamesweldonjohnson.emory.edu","James Weldon Johnson Institute for the Study of Race &amp; Difference at Emory University")</f>
        <v>James Weldon Johnson Institute for the Study of Race &amp; Difference at Emory University</v>
      </c>
      <c r="C135" s="18" t="s">
        <v>10</v>
      </c>
      <c r="D135" s="13" t="s">
        <v>402</v>
      </c>
      <c r="E135" s="18" t="s">
        <v>403</v>
      </c>
      <c r="F135" s="9" t="s">
        <v>34</v>
      </c>
      <c r="G135" s="26"/>
      <c r="H135" s="9"/>
      <c r="I135" s="59" t="s">
        <v>404</v>
      </c>
      <c r="J135" s="5"/>
    </row>
    <row r="136" ht="15.75" customHeight="1">
      <c r="A136" s="19">
        <v>44252.0</v>
      </c>
      <c r="B136" s="13" t="s">
        <v>405</v>
      </c>
      <c r="C136" s="14" t="s">
        <v>41</v>
      </c>
      <c r="D136" s="13" t="s">
        <v>406</v>
      </c>
      <c r="E136" s="6" t="s">
        <v>43</v>
      </c>
      <c r="F136" s="50" t="s">
        <v>46</v>
      </c>
      <c r="G136" s="9"/>
      <c r="H136" s="60" t="s">
        <v>407</v>
      </c>
      <c r="I136" s="53" t="s">
        <v>408</v>
      </c>
      <c r="J136" s="5"/>
    </row>
    <row r="137" ht="15.75" customHeight="1">
      <c r="A137" s="19">
        <v>44607.0</v>
      </c>
      <c r="B137" s="13" t="s">
        <v>409</v>
      </c>
      <c r="C137" s="14" t="s">
        <v>16</v>
      </c>
      <c r="D137" s="13" t="s">
        <v>410</v>
      </c>
      <c r="E137" s="6" t="s">
        <v>77</v>
      </c>
      <c r="F137" s="9"/>
      <c r="G137" s="9"/>
      <c r="H137" s="9"/>
      <c r="I137" s="16" t="s">
        <v>411</v>
      </c>
      <c r="J137" s="5"/>
    </row>
    <row r="138" ht="15.75" customHeight="1">
      <c r="A138" s="19">
        <v>44607.0</v>
      </c>
      <c r="B138" s="13" t="s">
        <v>409</v>
      </c>
      <c r="C138" s="14" t="s">
        <v>16</v>
      </c>
      <c r="D138" s="13" t="s">
        <v>412</v>
      </c>
      <c r="E138" s="6" t="s">
        <v>77</v>
      </c>
      <c r="F138" s="9"/>
      <c r="G138" s="9"/>
      <c r="H138" s="9"/>
      <c r="I138" s="16" t="s">
        <v>413</v>
      </c>
      <c r="J138" s="5"/>
    </row>
    <row r="139" ht="15.75" customHeight="1">
      <c r="A139" s="19">
        <v>44575.0</v>
      </c>
      <c r="B139" s="7" t="str">
        <f>HYPERLINK("https://www.gottliebfoundation.org","Gottleib Foundation")</f>
        <v>Gottleib Foundation</v>
      </c>
      <c r="C139" s="8" t="s">
        <v>16</v>
      </c>
      <c r="D139" s="7" t="s">
        <v>414</v>
      </c>
      <c r="E139" s="18" t="s">
        <v>17</v>
      </c>
      <c r="F139" s="9" t="s">
        <v>143</v>
      </c>
      <c r="G139" s="9"/>
      <c r="H139" s="9"/>
      <c r="I139" s="27" t="s">
        <v>415</v>
      </c>
      <c r="J139" s="5"/>
    </row>
    <row r="140" ht="15.75" customHeight="1">
      <c r="A140" s="19">
        <v>44620.0</v>
      </c>
      <c r="B140" s="7" t="str">
        <f>HYPERLINK("https://www.aacc.org/","American Association for Clinical Chemistry")</f>
        <v>American Association for Clinical Chemistry</v>
      </c>
      <c r="C140" s="8" t="s">
        <v>243</v>
      </c>
      <c r="D140" s="17" t="s">
        <v>416</v>
      </c>
      <c r="E140" s="18" t="s">
        <v>399</v>
      </c>
      <c r="F140" s="9" t="s">
        <v>138</v>
      </c>
      <c r="G140" s="9" t="s">
        <v>417</v>
      </c>
      <c r="H140" s="9"/>
      <c r="I140" s="27" t="s">
        <v>418</v>
      </c>
      <c r="J140" s="5"/>
    </row>
    <row r="141" ht="15.75" customHeight="1">
      <c r="A141" s="19">
        <v>45350.0</v>
      </c>
      <c r="B141" s="7" t="str">
        <f>HYPERLINK("https://www2.archivists.org","Society of American Archivists")</f>
        <v>Society of American Archivists</v>
      </c>
      <c r="C141" s="8" t="s">
        <v>16</v>
      </c>
      <c r="D141" s="7" t="str">
        <f>HYPERLINK("https://www2.archivists.org/governance/handbook/section12-fellows","Fellows")</f>
        <v>Fellows</v>
      </c>
      <c r="E141" s="18" t="s">
        <v>419</v>
      </c>
      <c r="F141" s="9" t="s">
        <v>87</v>
      </c>
      <c r="G141" s="9"/>
      <c r="H141" s="9"/>
      <c r="I141" s="27" t="s">
        <v>420</v>
      </c>
      <c r="J141" s="5"/>
    </row>
    <row r="142" ht="15.75" customHeight="1">
      <c r="A142" s="19">
        <v>44621.0</v>
      </c>
      <c r="B142" s="7" t="str">
        <f>HYPERLINK("http://librarycompany.org","Library Company of Philadelphia")</f>
        <v>Library Company of Philadelphia</v>
      </c>
      <c r="C142" s="8" t="s">
        <v>49</v>
      </c>
      <c r="D142" s="7" t="str">
        <f>HYPERLINK("http://librarycompany.org/academic-programs/fellowships/short-term/","Short-Term Fellowships")</f>
        <v>Short-Term Fellowships</v>
      </c>
      <c r="E142" s="18" t="s">
        <v>61</v>
      </c>
      <c r="F142" s="9" t="s">
        <v>34</v>
      </c>
      <c r="G142" s="9"/>
      <c r="H142" s="23">
        <v>2000.0</v>
      </c>
      <c r="I142" s="16" t="s">
        <v>421</v>
      </c>
      <c r="J142" s="61"/>
      <c r="K142" s="62"/>
      <c r="L142" s="62"/>
      <c r="M142" s="62"/>
      <c r="N142" s="62"/>
      <c r="O142" s="62"/>
      <c r="P142" s="62"/>
      <c r="Q142" s="62"/>
      <c r="R142" s="62"/>
      <c r="S142" s="62"/>
      <c r="T142" s="62"/>
      <c r="U142" s="62"/>
      <c r="V142" s="62"/>
      <c r="W142" s="62"/>
      <c r="X142" s="62"/>
      <c r="Y142" s="62"/>
      <c r="Z142" s="62"/>
    </row>
    <row r="143" ht="15.75" customHeight="1">
      <c r="A143" s="19">
        <v>44834.0</v>
      </c>
      <c r="B143" s="7" t="str">
        <f>HYPERLINK("https://www.wilsoncenter.org/","Wilson Center")</f>
        <v>Wilson Center</v>
      </c>
      <c r="C143" s="8" t="s">
        <v>16</v>
      </c>
      <c r="D143" s="7" t="str">
        <f>HYPERLINK("https://www.wilsoncenter.org/opportunity/george-f-kennan-fellowship","George F. Kennan Fellowship")</f>
        <v>George F. Kennan Fellowship</v>
      </c>
      <c r="E143" s="18" t="s">
        <v>422</v>
      </c>
      <c r="F143" s="9" t="s">
        <v>34</v>
      </c>
      <c r="G143" s="9"/>
      <c r="H143" s="9" t="s">
        <v>423</v>
      </c>
      <c r="I143" s="16" t="s">
        <v>424</v>
      </c>
      <c r="J143" s="5"/>
    </row>
    <row r="144" ht="15.75" customHeight="1">
      <c r="A144" s="19">
        <v>44834.0</v>
      </c>
      <c r="B144" s="17" t="s">
        <v>425</v>
      </c>
      <c r="C144" s="8" t="s">
        <v>10</v>
      </c>
      <c r="D144" s="7" t="str">
        <f>HYPERLINK("https://www.wilsoncenter.org/opportunity/kennan-institute-short-term-grant","Title VIII Short-Term Grants")</f>
        <v>Title VIII Short-Term Grants</v>
      </c>
      <c r="E144" s="18" t="s">
        <v>426</v>
      </c>
      <c r="F144" s="9" t="s">
        <v>34</v>
      </c>
      <c r="G144" s="9"/>
      <c r="H144" s="9" t="s">
        <v>427</v>
      </c>
      <c r="I144" s="16" t="s">
        <v>428</v>
      </c>
      <c r="J144" s="5"/>
    </row>
    <row r="145" ht="15.75" customHeight="1">
      <c r="A145" s="19">
        <v>44621.0</v>
      </c>
      <c r="B145" s="7" t="str">
        <f>HYPERLINK("http://www.esherick-yefoundation.org/","Esherick-Ye Family Foundation")</f>
        <v>Esherick-Ye Family Foundation</v>
      </c>
      <c r="C145" s="8" t="s">
        <v>16</v>
      </c>
      <c r="D145" s="7" t="str">
        <f>HYPERLINK("http://www.esherick-yefoundation.org/grants/application-procedures/","Grants")</f>
        <v>Grants</v>
      </c>
      <c r="E145" s="18" t="s">
        <v>429</v>
      </c>
      <c r="F145" s="9" t="s">
        <v>90</v>
      </c>
      <c r="G145" s="9" t="s">
        <v>72</v>
      </c>
      <c r="H145" s="9" t="s">
        <v>430</v>
      </c>
      <c r="I145" s="16" t="s">
        <v>431</v>
      </c>
      <c r="J145" s="5"/>
    </row>
    <row r="146" ht="15.75" customHeight="1">
      <c r="A146" s="19">
        <v>44256.0</v>
      </c>
      <c r="B146" s="7" t="str">
        <f>HYPERLINK("http://www.ucrossfoundation.org","UCross Foundation")</f>
        <v>UCross Foundation</v>
      </c>
      <c r="C146" s="8" t="s">
        <v>16</v>
      </c>
      <c r="D146" s="7" t="s">
        <v>432</v>
      </c>
      <c r="E146" s="18" t="s">
        <v>233</v>
      </c>
      <c r="F146" s="9" t="s">
        <v>301</v>
      </c>
      <c r="G146" s="9"/>
      <c r="H146" s="9"/>
      <c r="I146" s="16" t="s">
        <v>433</v>
      </c>
      <c r="J146" s="5"/>
    </row>
    <row r="147" ht="15.75" customHeight="1">
      <c r="A147" s="19">
        <v>44256.0</v>
      </c>
      <c r="B147" s="7" t="str">
        <f>HYPERLINK("https://www.wilsoncenter.org/","Wilson Center")</f>
        <v>Wilson Center</v>
      </c>
      <c r="C147" s="8" t="s">
        <v>16</v>
      </c>
      <c r="D147" s="7" t="str">
        <f>HYPERLINK("https://www.wilsoncenter.org/kennan-institute-fellowships-and-internships","Title VIII Research and Summer Research Scholarships")</f>
        <v>Title VIII Research and Summer Research Scholarships</v>
      </c>
      <c r="E147" s="18" t="s">
        <v>426</v>
      </c>
      <c r="F147" s="9" t="s">
        <v>34</v>
      </c>
      <c r="G147" s="9" t="s">
        <v>72</v>
      </c>
      <c r="H147" s="9" t="s">
        <v>434</v>
      </c>
      <c r="I147" s="27" t="s">
        <v>435</v>
      </c>
      <c r="J147" s="5"/>
    </row>
    <row r="148" ht="15.75" customHeight="1">
      <c r="A148" s="19">
        <v>44256.0</v>
      </c>
      <c r="B148" s="7" t="str">
        <f t="shared" ref="B148:B149" si="7">HYPERLINK("http://www.hluce.org/","Henry Luce Foundation")</f>
        <v>Henry Luce Foundation</v>
      </c>
      <c r="C148" s="8" t="s">
        <v>16</v>
      </c>
      <c r="D148" s="22" t="s">
        <v>436</v>
      </c>
      <c r="E148" s="18" t="s">
        <v>77</v>
      </c>
      <c r="F148" s="9" t="s">
        <v>437</v>
      </c>
      <c r="G148" s="9"/>
      <c r="H148" s="9"/>
      <c r="I148" s="16" t="s">
        <v>438</v>
      </c>
      <c r="J148" s="5"/>
    </row>
    <row r="149" ht="15.75" customHeight="1">
      <c r="A149" s="19">
        <v>44440.0</v>
      </c>
      <c r="B149" s="7" t="str">
        <f t="shared" si="7"/>
        <v>Henry Luce Foundation</v>
      </c>
      <c r="C149" s="14" t="s">
        <v>16</v>
      </c>
      <c r="D149" s="22" t="s">
        <v>439</v>
      </c>
      <c r="E149" s="18"/>
      <c r="F149" s="15"/>
      <c r="G149" s="18"/>
      <c r="H149" s="9"/>
      <c r="I149" s="16" t="s">
        <v>440</v>
      </c>
      <c r="J149" s="5"/>
    </row>
    <row r="150" ht="15.75" customHeight="1">
      <c r="A150" s="19">
        <v>44621.0</v>
      </c>
      <c r="B150" s="7" t="str">
        <f>HYPERLINK("https://iias.asia","International Institute for Asian Studies")</f>
        <v>International Institute for Asian Studies</v>
      </c>
      <c r="C150" s="8" t="s">
        <v>10</v>
      </c>
      <c r="D150" s="7" t="str">
        <f>HYPERLINK("https://www.iias.asia/fellowships","IIAS Fellowship")</f>
        <v>IIAS Fellowship</v>
      </c>
      <c r="E150" s="18" t="s">
        <v>429</v>
      </c>
      <c r="F150" s="15" t="s">
        <v>34</v>
      </c>
      <c r="G150" s="18"/>
      <c r="H150" s="9" t="s">
        <v>441</v>
      </c>
      <c r="I150" s="27" t="s">
        <v>442</v>
      </c>
      <c r="J150" s="5"/>
    </row>
    <row r="151" ht="15.75" customHeight="1">
      <c r="A151" s="19">
        <v>44621.0</v>
      </c>
      <c r="B151" s="63" t="str">
        <f>HYPERLINK("http://www.apa.org/apf/index.aspx","American Psychological Foundation")</f>
        <v>American Psychological Foundation</v>
      </c>
      <c r="C151" s="8" t="s">
        <v>16</v>
      </c>
      <c r="D151" s="7" t="str">
        <f>HYPERLINK("http://www.apa.org/apf/funding/rosen.aspx","Esther Katz Rosen Fund")</f>
        <v>Esther Katz Rosen Fund</v>
      </c>
      <c r="E151" s="18" t="s">
        <v>443</v>
      </c>
      <c r="F151" s="9" t="s">
        <v>444</v>
      </c>
      <c r="G151" s="9"/>
      <c r="H151" s="9" t="s">
        <v>445</v>
      </c>
      <c r="I151" s="27" t="s">
        <v>446</v>
      </c>
      <c r="J151" s="5"/>
    </row>
    <row r="152" ht="15.75" customHeight="1">
      <c r="A152" s="19">
        <v>45352.0</v>
      </c>
      <c r="B152" s="7" t="str">
        <f>HYPERLINK("https://www.baylor.edu/","Baylor University Library")</f>
        <v>Baylor University Library</v>
      </c>
      <c r="C152" s="8" t="s">
        <v>10</v>
      </c>
      <c r="D152" s="17" t="s">
        <v>447</v>
      </c>
      <c r="E152" s="18" t="s">
        <v>24</v>
      </c>
      <c r="F152" s="9" t="s">
        <v>301</v>
      </c>
      <c r="G152" s="18"/>
      <c r="H152" s="9" t="s">
        <v>448</v>
      </c>
      <c r="I152" s="64" t="s">
        <v>449</v>
      </c>
      <c r="J152" s="5"/>
    </row>
    <row r="153" ht="15.75" customHeight="1">
      <c r="A153" s="19">
        <v>45337.0</v>
      </c>
      <c r="B153" s="7" t="str">
        <f>HYPERLINK("https://www.arts.gov/","National Endowment for the Arts")</f>
        <v>National Endowment for the Arts</v>
      </c>
      <c r="C153" s="8" t="s">
        <v>41</v>
      </c>
      <c r="D153" s="17" t="s">
        <v>450</v>
      </c>
      <c r="E153" s="18" t="s">
        <v>82</v>
      </c>
      <c r="F153" s="18" t="s">
        <v>221</v>
      </c>
      <c r="G153" s="10"/>
      <c r="H153" s="9"/>
      <c r="I153" s="27" t="s">
        <v>451</v>
      </c>
      <c r="J153" s="5"/>
    </row>
    <row r="154" ht="15.75" customHeight="1">
      <c r="A154" s="21">
        <v>45061.0</v>
      </c>
      <c r="B154" s="7" t="str">
        <f>HYPERLINK("https://www.sas.ac.uk/","University of London, School of Advanced Study")</f>
        <v>University of London, School of Advanced Study</v>
      </c>
      <c r="C154" s="8" t="s">
        <v>10</v>
      </c>
      <c r="D154" s="17" t="s">
        <v>452</v>
      </c>
      <c r="E154" s="18" t="s">
        <v>61</v>
      </c>
      <c r="F154" s="9" t="s">
        <v>87</v>
      </c>
      <c r="G154" s="9"/>
      <c r="H154" s="23" t="s">
        <v>453</v>
      </c>
      <c r="I154" s="65" t="s">
        <v>454</v>
      </c>
      <c r="J154" s="5"/>
    </row>
    <row r="155" ht="15.75" customHeight="1">
      <c r="A155" s="19">
        <v>44993.0</v>
      </c>
      <c r="B155" s="7" t="str">
        <f>HYPERLINK("https://www.arts.gov/","National Endowment for the Arts")</f>
        <v>National Endowment for the Arts</v>
      </c>
      <c r="C155" s="8" t="s">
        <v>41</v>
      </c>
      <c r="D155" s="17" t="s">
        <v>455</v>
      </c>
      <c r="E155" s="18" t="s">
        <v>456</v>
      </c>
      <c r="F155" s="9" t="s">
        <v>66</v>
      </c>
      <c r="G155" s="9"/>
      <c r="H155" s="23">
        <v>25000.0</v>
      </c>
      <c r="I155" s="27" t="s">
        <v>457</v>
      </c>
      <c r="J155" s="5"/>
    </row>
    <row r="156" ht="15.75" customHeight="1">
      <c r="A156" s="19">
        <v>45021.0</v>
      </c>
      <c r="B156" s="7" t="str">
        <f>HYPERLINK("https://www.morrisanimalfoundation.org/","Morris Animal Foundation ")</f>
        <v>Morris Animal Foundation </v>
      </c>
      <c r="C156" s="8" t="s">
        <v>16</v>
      </c>
      <c r="D156" s="7" t="str">
        <f>HYPERLINK("http://www.morrisanimalfoundation.org/researchers/","Large Companion Animal Grant")</f>
        <v>Large Companion Animal Grant</v>
      </c>
      <c r="E156" s="18" t="s">
        <v>77</v>
      </c>
      <c r="F156" s="18" t="s">
        <v>90</v>
      </c>
      <c r="G156" s="18"/>
      <c r="H156" s="9" t="s">
        <v>458</v>
      </c>
      <c r="I156" s="27" t="s">
        <v>459</v>
      </c>
      <c r="J156" s="5"/>
    </row>
    <row r="157" ht="15.75" customHeight="1">
      <c r="A157" s="19">
        <v>45036.0</v>
      </c>
      <c r="B157" s="7" t="str">
        <f>HYPERLINK("https://classicalstudies.org/","Society for Classical Studies")</f>
        <v>Society for Classical Studies</v>
      </c>
      <c r="C157" s="8" t="s">
        <v>16</v>
      </c>
      <c r="D157" s="7" t="str">
        <f>HYPERLINK("https://classicalstudies.org/awards-and-fellowships/pedagogy-award","Pedagogy Award")</f>
        <v>Pedagogy Award</v>
      </c>
      <c r="E157" s="18" t="s">
        <v>163</v>
      </c>
      <c r="F157" s="9"/>
      <c r="G157" s="9"/>
      <c r="H157" s="23" t="s">
        <v>460</v>
      </c>
      <c r="I157" s="27" t="s">
        <v>461</v>
      </c>
      <c r="J157" s="5"/>
    </row>
    <row r="158" ht="15.75" customHeight="1">
      <c r="A158" s="21">
        <v>45000.0</v>
      </c>
      <c r="B158" s="7" t="str">
        <f>HYPERLINK("https://nias.knaw.nl/","Netherlands Institute for Advanced Study ")</f>
        <v>Netherlands Institute for Advanced Study </v>
      </c>
      <c r="C158" s="8" t="s">
        <v>10</v>
      </c>
      <c r="D158" s="7" t="str">
        <f>HYPERLINK("https://nias.knaw.nl/fellowships/individual-fellowship-applicants-dutch-affiliation/","Fellowships")</f>
        <v>Fellowships</v>
      </c>
      <c r="E158" s="18" t="s">
        <v>462</v>
      </c>
      <c r="F158" s="9" t="s">
        <v>66</v>
      </c>
      <c r="G158" s="9"/>
      <c r="H158" s="23"/>
      <c r="I158" s="27" t="s">
        <v>463</v>
      </c>
      <c r="J158" s="5"/>
    </row>
    <row r="159" ht="15.75" customHeight="1">
      <c r="A159" s="19">
        <v>44991.0</v>
      </c>
      <c r="B159" s="7" t="str">
        <f>HYPERLINK("https://www.ploughshares.org","Ploughshares Foundation")</f>
        <v>Ploughshares Foundation</v>
      </c>
      <c r="C159" s="8" t="s">
        <v>16</v>
      </c>
      <c r="D159" s="7" t="str">
        <f>HYPERLINK("https://www.ploughshares.org/what-we-fund","Projects that Promote a Nuclear-Free World")</f>
        <v>Projects that Promote a Nuclear-Free World</v>
      </c>
      <c r="E159" s="18" t="s">
        <v>394</v>
      </c>
      <c r="F159" s="9"/>
      <c r="G159" s="9"/>
      <c r="H159" s="9"/>
      <c r="I159" s="27" t="s">
        <v>464</v>
      </c>
      <c r="J159" s="5"/>
    </row>
    <row r="160" ht="15.75" customHeight="1">
      <c r="A160" s="19">
        <v>45031.0</v>
      </c>
      <c r="B160" s="7" t="str">
        <f>HYPERLINK("http://www.apa.org/apf/","American Psychological Association")</f>
        <v>American Psychological Association</v>
      </c>
      <c r="C160" s="8" t="s">
        <v>16</v>
      </c>
      <c r="D160" s="7" t="s">
        <v>465</v>
      </c>
      <c r="E160" s="18" t="s">
        <v>77</v>
      </c>
      <c r="F160" s="18" t="s">
        <v>110</v>
      </c>
      <c r="G160" s="18" t="s">
        <v>72</v>
      </c>
      <c r="H160" s="9" t="s">
        <v>466</v>
      </c>
      <c r="I160" s="27" t="s">
        <v>467</v>
      </c>
      <c r="J160" s="5"/>
    </row>
    <row r="161" ht="15.75" customHeight="1">
      <c r="A161" s="19">
        <v>44636.0</v>
      </c>
      <c r="B161" s="7" t="str">
        <f>HYPERLINK("http://www.sontagfoundation.org/","Sontag Foundation")</f>
        <v>Sontag Foundation</v>
      </c>
      <c r="C161" s="8" t="s">
        <v>16</v>
      </c>
      <c r="D161" s="22" t="s">
        <v>468</v>
      </c>
      <c r="E161" s="18" t="s">
        <v>77</v>
      </c>
      <c r="F161" s="15" t="s">
        <v>138</v>
      </c>
      <c r="G161" s="15"/>
      <c r="H161" s="9"/>
      <c r="I161" s="27" t="s">
        <v>467</v>
      </c>
      <c r="J161" s="5"/>
    </row>
    <row r="162" ht="15.75" customHeight="1">
      <c r="A162" s="19">
        <v>45006.0</v>
      </c>
      <c r="B162" s="7" t="str">
        <f>HYPERLINK("nga.gov","National Gallery of Art")</f>
        <v>National Gallery of Art</v>
      </c>
      <c r="C162" s="8" t="s">
        <v>49</v>
      </c>
      <c r="D162" s="7" t="s">
        <v>469</v>
      </c>
      <c r="E162" s="18" t="s">
        <v>65</v>
      </c>
      <c r="F162" s="9" t="s">
        <v>34</v>
      </c>
      <c r="G162" s="9" t="s">
        <v>470</v>
      </c>
      <c r="H162" s="9" t="s">
        <v>471</v>
      </c>
      <c r="I162" s="27" t="s">
        <v>472</v>
      </c>
      <c r="J162" s="5"/>
    </row>
    <row r="163" ht="15.75" customHeight="1">
      <c r="A163" s="19">
        <v>45329.0</v>
      </c>
      <c r="B163" s="7" t="str">
        <f t="shared" ref="B163:B164" si="8">HYPERLINK("nsf.gov","National Science Foundation")</f>
        <v>National Science Foundation</v>
      </c>
      <c r="C163" s="14" t="s">
        <v>41</v>
      </c>
      <c r="D163" s="13" t="s">
        <v>473</v>
      </c>
      <c r="E163" s="6" t="s">
        <v>474</v>
      </c>
      <c r="F163" s="18"/>
      <c r="G163" s="10"/>
      <c r="H163" s="9"/>
      <c r="I163" s="16" t="s">
        <v>475</v>
      </c>
      <c r="J163" s="5"/>
    </row>
    <row r="164" ht="15.75" customHeight="1">
      <c r="A164" s="19">
        <v>45015.0</v>
      </c>
      <c r="B164" s="7" t="str">
        <f t="shared" si="8"/>
        <v>National Science Foundation</v>
      </c>
      <c r="C164" s="8" t="s">
        <v>41</v>
      </c>
      <c r="D164" s="22" t="s">
        <v>476</v>
      </c>
      <c r="E164" s="18" t="s">
        <v>45</v>
      </c>
      <c r="F164" s="18" t="s">
        <v>477</v>
      </c>
      <c r="G164" s="10"/>
      <c r="H164" s="9" t="s">
        <v>478</v>
      </c>
      <c r="I164" s="27" t="s">
        <v>479</v>
      </c>
      <c r="J164" s="5"/>
    </row>
    <row r="165" ht="15.75" customHeight="1">
      <c r="A165" s="19">
        <v>45016.0</v>
      </c>
      <c r="B165" s="7" t="str">
        <f>HYPERLINK("https://www.bbrfoundation.org/","Brain &amp; Behavior Research Foundation")</f>
        <v>Brain &amp; Behavior Research Foundation</v>
      </c>
      <c r="C165" s="8" t="s">
        <v>16</v>
      </c>
      <c r="D165" s="7" t="str">
        <f>HYPERLINK("https://www.bbrfoundation.org/grants-prizes/grants","NARSAD Young Investigator Grants")</f>
        <v>NARSAD Young Investigator Grants</v>
      </c>
      <c r="E165" s="18" t="s">
        <v>77</v>
      </c>
      <c r="F165" s="18" t="s">
        <v>90</v>
      </c>
      <c r="G165" s="18"/>
      <c r="H165" s="9" t="s">
        <v>480</v>
      </c>
      <c r="I165" s="16" t="s">
        <v>481</v>
      </c>
      <c r="J165" s="5"/>
    </row>
    <row r="166" ht="15.75" customHeight="1">
      <c r="A166" s="19">
        <v>45009.0</v>
      </c>
      <c r="B166" s="7" t="str">
        <f>HYPERLINK("http://frenchhistorysociety.co.uk/","French HIstory Society")</f>
        <v>French HIstory Society</v>
      </c>
      <c r="C166" s="48" t="s">
        <v>16</v>
      </c>
      <c r="D166" s="7" t="str">
        <f>HYPERLINK("http://frenchhistorysociety.co.uk/visiting_scholars.htm","Visiting Scholars Scheme")</f>
        <v>Visiting Scholars Scheme</v>
      </c>
      <c r="E166" s="18" t="s">
        <v>99</v>
      </c>
      <c r="F166" s="15" t="s">
        <v>34</v>
      </c>
      <c r="G166" s="15"/>
      <c r="H166" s="9" t="s">
        <v>482</v>
      </c>
      <c r="I166" s="16" t="s">
        <v>483</v>
      </c>
      <c r="J166" s="5"/>
    </row>
    <row r="167" ht="15.75" customHeight="1">
      <c r="A167" s="19">
        <v>44281.0</v>
      </c>
      <c r="B167" s="7" t="str">
        <f>HYPERLINK("https://www.imls.gov/","Institute of Museum and Library Studies (IMLS)")</f>
        <v>Institute of Museum and Library Studies (IMLS)</v>
      </c>
      <c r="C167" s="48" t="s">
        <v>41</v>
      </c>
      <c r="D167" s="7" t="s">
        <v>484</v>
      </c>
      <c r="E167" s="18" t="s">
        <v>419</v>
      </c>
      <c r="F167" s="9" t="s">
        <v>143</v>
      </c>
      <c r="G167" s="9"/>
      <c r="H167" s="9"/>
      <c r="I167" s="16" t="s">
        <v>485</v>
      </c>
      <c r="J167" s="5"/>
    </row>
    <row r="168" ht="15.75" customHeight="1">
      <c r="A168" s="19">
        <v>45036.0</v>
      </c>
      <c r="B168" s="7" t="str">
        <f>HYPERLINK("https://classicalstudies.org/","Society for Classical Studies")</f>
        <v>Society for Classical Studies</v>
      </c>
      <c r="C168" s="8" t="s">
        <v>16</v>
      </c>
      <c r="D168" s="7" t="str">
        <f>HYPERLINK("https://classicalstudies.org/awards-and-fellowships/ludwig-koenen-fellowship-training-papyrology","Ludwig Koenen Fellowship for Training in Papyrology")</f>
        <v>Ludwig Koenen Fellowship for Training in Papyrology</v>
      </c>
      <c r="E168" s="18" t="s">
        <v>163</v>
      </c>
      <c r="F168" s="9" t="s">
        <v>486</v>
      </c>
      <c r="G168" s="9"/>
      <c r="H168" s="23" t="s">
        <v>487</v>
      </c>
      <c r="I168" s="27" t="s">
        <v>488</v>
      </c>
      <c r="J168" s="5"/>
    </row>
    <row r="169" ht="15.75" customHeight="1">
      <c r="A169" s="19">
        <v>44283.0</v>
      </c>
      <c r="B169" s="7" t="str">
        <f>HYPERLINK("http://cavecanempoets.org/","Cave Canem")</f>
        <v>Cave Canem</v>
      </c>
      <c r="C169" s="8" t="s">
        <v>16</v>
      </c>
      <c r="D169" s="22" t="s">
        <v>489</v>
      </c>
      <c r="E169" s="18" t="s">
        <v>456</v>
      </c>
      <c r="F169" s="9" t="s">
        <v>371</v>
      </c>
      <c r="G169" s="9"/>
      <c r="H169" s="23">
        <v>1565.0</v>
      </c>
      <c r="I169" s="27" t="s">
        <v>490</v>
      </c>
      <c r="J169" s="5"/>
    </row>
    <row r="170" ht="15.75" customHeight="1">
      <c r="A170" s="19">
        <v>45012.0</v>
      </c>
      <c r="B170" s="7" t="s">
        <v>491</v>
      </c>
      <c r="C170" s="48" t="s">
        <v>41</v>
      </c>
      <c r="D170" s="17" t="s">
        <v>492</v>
      </c>
      <c r="E170" s="18" t="s">
        <v>17</v>
      </c>
      <c r="F170" s="9" t="s">
        <v>90</v>
      </c>
      <c r="G170" s="9"/>
      <c r="H170" s="9" t="s">
        <v>493</v>
      </c>
      <c r="I170" s="16" t="s">
        <v>494</v>
      </c>
      <c r="J170" s="5"/>
    </row>
    <row r="171" ht="15.75" customHeight="1">
      <c r="A171" s="19">
        <v>44285.0</v>
      </c>
      <c r="B171" s="13" t="s">
        <v>495</v>
      </c>
      <c r="C171" s="14" t="s">
        <v>49</v>
      </c>
      <c r="D171" s="13" t="s">
        <v>496</v>
      </c>
      <c r="E171" s="6" t="s">
        <v>128</v>
      </c>
      <c r="F171" s="51" t="s">
        <v>138</v>
      </c>
      <c r="G171" s="15"/>
      <c r="H171" s="9"/>
      <c r="I171" s="16" t="s">
        <v>497</v>
      </c>
      <c r="J171" s="40"/>
    </row>
    <row r="172" ht="15.75" customHeight="1">
      <c r="A172" s="19">
        <v>45016.0</v>
      </c>
      <c r="B172" s="7" t="str">
        <f>HYPERLINK("https://hornefamilyfoundation.org/","Horne Family Foundation")</f>
        <v>Horne Family Foundation</v>
      </c>
      <c r="C172" s="8" t="s">
        <v>16</v>
      </c>
      <c r="D172" s="7" t="str">
        <f>HYPERLINK("https://hornefamilyfoundation.org/grant-applicants/","Grants")</f>
        <v>Grants</v>
      </c>
      <c r="E172" s="18" t="s">
        <v>498</v>
      </c>
      <c r="F172" s="15" t="s">
        <v>499</v>
      </c>
      <c r="G172" s="15"/>
      <c r="H172" s="9" t="s">
        <v>500</v>
      </c>
      <c r="I172" s="16" t="s">
        <v>501</v>
      </c>
      <c r="J172" s="5"/>
    </row>
    <row r="173" ht="15.75" customHeight="1">
      <c r="A173" s="19">
        <v>44286.0</v>
      </c>
      <c r="B173" s="7" t="str">
        <f>HYPERLINK("https://www.accessgroup.org/","Access group")</f>
        <v>Access group</v>
      </c>
      <c r="C173" s="8" t="s">
        <v>243</v>
      </c>
      <c r="D173" s="17" t="s">
        <v>502</v>
      </c>
      <c r="E173" s="18" t="s">
        <v>503</v>
      </c>
      <c r="F173" s="15" t="s">
        <v>221</v>
      </c>
      <c r="G173" s="15"/>
      <c r="H173" s="9"/>
      <c r="I173" s="27" t="s">
        <v>504</v>
      </c>
      <c r="J173" s="5"/>
    </row>
    <row r="174" ht="15.75" customHeight="1">
      <c r="A174" s="19">
        <v>45014.0</v>
      </c>
      <c r="B174" s="7" t="str">
        <f>HYPERLINK("http://www.midatlanticarts.org/","Mid Atlantic Arts Foundation")</f>
        <v>Mid Atlantic Arts Foundation</v>
      </c>
      <c r="C174" s="8" t="s">
        <v>16</v>
      </c>
      <c r="D174" s="7" t="s">
        <v>505</v>
      </c>
      <c r="E174" s="18" t="s">
        <v>17</v>
      </c>
      <c r="F174" s="9" t="s">
        <v>288</v>
      </c>
      <c r="G174" s="9"/>
      <c r="H174" s="9" t="s">
        <v>113</v>
      </c>
      <c r="I174" s="16" t="s">
        <v>506</v>
      </c>
      <c r="J174" s="5"/>
    </row>
    <row r="175" ht="15.75" customHeight="1">
      <c r="A175" s="30">
        <v>45016.0</v>
      </c>
      <c r="B175" s="7" t="str">
        <f>HYPERLINK("https://www.sas.ac.uk/","Univeristy of London, School of Advanced Study")</f>
        <v>Univeristy of London, School of Advanced Study</v>
      </c>
      <c r="C175" s="8" t="s">
        <v>10</v>
      </c>
      <c r="D175" s="7" t="s">
        <v>507</v>
      </c>
      <c r="E175" s="18" t="s">
        <v>508</v>
      </c>
      <c r="F175" s="9" t="s">
        <v>87</v>
      </c>
      <c r="G175" s="9"/>
      <c r="H175" s="23" t="s">
        <v>341</v>
      </c>
      <c r="I175" s="41" t="s">
        <v>509</v>
      </c>
      <c r="J175" s="5"/>
    </row>
    <row r="176" ht="15.75" customHeight="1">
      <c r="A176" s="19">
        <v>45017.0</v>
      </c>
      <c r="B176" s="7" t="str">
        <f>HYPERLINK("https://breakthroughprize.org/","Breakthrough Prize")</f>
        <v>Breakthrough Prize</v>
      </c>
      <c r="C176" s="8" t="s">
        <v>16</v>
      </c>
      <c r="D176" s="17" t="s">
        <v>510</v>
      </c>
      <c r="E176" s="18" t="s">
        <v>188</v>
      </c>
      <c r="F176" s="9" t="s">
        <v>138</v>
      </c>
      <c r="G176" s="9"/>
      <c r="H176" s="9"/>
      <c r="I176" s="16" t="s">
        <v>511</v>
      </c>
      <c r="J176" s="5"/>
    </row>
    <row r="177" ht="15.75" customHeight="1">
      <c r="A177" s="19">
        <v>44287.0</v>
      </c>
      <c r="B177" s="7" t="str">
        <f>HYPERLINK("https://www.aps.org","American Psychological Society")</f>
        <v>American Psychological Society</v>
      </c>
      <c r="C177" s="8" t="s">
        <v>16</v>
      </c>
      <c r="D177" s="7" t="str">
        <f>HYPERLINK("http://www.aps.org/programs/honors/fellowships/","APS Fellows")</f>
        <v>APS Fellows</v>
      </c>
      <c r="E177" s="18" t="s">
        <v>106</v>
      </c>
      <c r="F177" s="9" t="s">
        <v>512</v>
      </c>
      <c r="G177" s="9"/>
      <c r="H177" s="9"/>
      <c r="I177" s="16" t="s">
        <v>513</v>
      </c>
      <c r="J177" s="5"/>
    </row>
    <row r="178" ht="15.75" customHeight="1">
      <c r="A178" s="19">
        <v>45017.0</v>
      </c>
      <c r="B178" s="7" t="str">
        <f>HYPERLINK("https://www.historians.org/","American Historical Association")</f>
        <v>American Historical Association</v>
      </c>
      <c r="C178" s="18" t="s">
        <v>16</v>
      </c>
      <c r="D178" s="7" t="str">
        <f>HYPERLINK("https://www.historians.org/awards-and-grants/grants-and-fellowships/fellowships-in-aerospace-history","Fellowship in Aerospace History")</f>
        <v>Fellowship in Aerospace History</v>
      </c>
      <c r="E178" s="18" t="s">
        <v>61</v>
      </c>
      <c r="F178" s="15" t="s">
        <v>87</v>
      </c>
      <c r="G178" s="15"/>
      <c r="H178" s="23" t="s">
        <v>514</v>
      </c>
      <c r="I178" s="16" t="s">
        <v>515</v>
      </c>
      <c r="J178" s="5"/>
    </row>
    <row r="179" ht="15.75" customHeight="1">
      <c r="A179" s="19">
        <v>44287.0</v>
      </c>
      <c r="B179" s="7" t="str">
        <f>HYPERLINK("http://www.fahsbeckfund.org/","Fahs Beck Fund")</f>
        <v>Fahs Beck Fund</v>
      </c>
      <c r="C179" s="8" t="s">
        <v>16</v>
      </c>
      <c r="D179" s="17" t="s">
        <v>516</v>
      </c>
      <c r="E179" s="18" t="s">
        <v>45</v>
      </c>
      <c r="F179" s="15" t="s">
        <v>90</v>
      </c>
      <c r="G179" s="15"/>
      <c r="H179" s="9" t="s">
        <v>517</v>
      </c>
      <c r="I179" s="16" t="s">
        <v>518</v>
      </c>
      <c r="J179" s="5"/>
    </row>
    <row r="180" ht="15.75" customHeight="1">
      <c r="A180" s="19">
        <v>45017.0</v>
      </c>
      <c r="B180" s="7" t="str">
        <f>HYPERLINK("http://www.kressfoundation.org","Kress Foundation")</f>
        <v>Kress Foundation</v>
      </c>
      <c r="C180" s="8" t="s">
        <v>16</v>
      </c>
      <c r="D180" s="7" t="str">
        <f>HYPERLINK("http://www.kressfoundation.org/fellowships/interpretive/","Interpretive Fellowships at Art Museums")</f>
        <v>Interpretive Fellowships at Art Museums</v>
      </c>
      <c r="E180" s="18" t="s">
        <v>65</v>
      </c>
      <c r="F180" s="9" t="s">
        <v>34</v>
      </c>
      <c r="G180" s="9" t="s">
        <v>72</v>
      </c>
      <c r="H180" s="23">
        <v>30000.0</v>
      </c>
      <c r="I180" s="27" t="s">
        <v>519</v>
      </c>
      <c r="J180" s="5"/>
    </row>
    <row r="181" ht="15.75" customHeight="1">
      <c r="A181" s="19">
        <v>45017.0</v>
      </c>
      <c r="B181" s="7" t="str">
        <f>HYPERLINK("http://www.apa.org/apf/","American Psychological Association")</f>
        <v>American Psychological Association</v>
      </c>
      <c r="C181" s="8" t="s">
        <v>16</v>
      </c>
      <c r="D181" s="7" t="s">
        <v>520</v>
      </c>
      <c r="E181" s="18" t="s">
        <v>77</v>
      </c>
      <c r="F181" s="15" t="s">
        <v>90</v>
      </c>
      <c r="G181" s="15" t="s">
        <v>521</v>
      </c>
      <c r="H181" s="9" t="s">
        <v>517</v>
      </c>
      <c r="I181" s="27" t="s">
        <v>522</v>
      </c>
      <c r="J181" s="5"/>
    </row>
    <row r="182" ht="15.75" customHeight="1">
      <c r="A182" s="19">
        <v>44287.0</v>
      </c>
      <c r="B182" s="7" t="str">
        <f>HYPERLINK("https://www.historians.org/","American Historical Association")</f>
        <v>American Historical Association</v>
      </c>
      <c r="C182" s="18" t="s">
        <v>16</v>
      </c>
      <c r="D182" s="7" t="s">
        <v>523</v>
      </c>
      <c r="E182" s="18" t="s">
        <v>61</v>
      </c>
      <c r="F182" s="18" t="s">
        <v>34</v>
      </c>
      <c r="G182" s="9" t="s">
        <v>72</v>
      </c>
      <c r="H182" s="23">
        <v>5000.0</v>
      </c>
      <c r="I182" s="16" t="s">
        <v>524</v>
      </c>
      <c r="J182" s="5"/>
    </row>
    <row r="183" ht="15.75" customHeight="1">
      <c r="A183" s="19">
        <v>45017.0</v>
      </c>
      <c r="B183" s="7" t="str">
        <f>HYPERLINK("https://www.monticello.org/","Thomas Jefferson Foundation")</f>
        <v>Thomas Jefferson Foundation</v>
      </c>
      <c r="C183" s="8" t="s">
        <v>16</v>
      </c>
      <c r="D183" s="7" t="str">
        <f>HYPERLINK("https://www.monticello.org/site/research-and-collections/batten-first-union-and-peter-nicolaisen-international-fellowships","Short Term Fellowships")</f>
        <v>Short Term Fellowships</v>
      </c>
      <c r="E183" s="18" t="s">
        <v>525</v>
      </c>
      <c r="F183" s="9" t="s">
        <v>34</v>
      </c>
      <c r="G183" s="9"/>
      <c r="H183" s="23" t="s">
        <v>526</v>
      </c>
      <c r="I183" s="16" t="s">
        <v>527</v>
      </c>
      <c r="J183" s="5"/>
    </row>
    <row r="184" ht="15.75" customHeight="1">
      <c r="A184" s="19">
        <v>45017.0</v>
      </c>
      <c r="B184" s="7" t="str">
        <f>HYPERLINK("http://teachpsych.org/index.php","Society for the Teaching of Psychology")</f>
        <v>Society for the Teaching of Psychology</v>
      </c>
      <c r="C184" s="8" t="s">
        <v>16</v>
      </c>
      <c r="D184" s="7" t="str">
        <f>HYPERLINK("http://teachpsych.org/page-1599541","Conference Speaker Grant Program")</f>
        <v>Conference Speaker Grant Program</v>
      </c>
      <c r="E184" s="18" t="s">
        <v>235</v>
      </c>
      <c r="F184" s="18" t="s">
        <v>528</v>
      </c>
      <c r="G184" s="9"/>
      <c r="H184" s="23" t="s">
        <v>529</v>
      </c>
      <c r="I184" s="16" t="s">
        <v>530</v>
      </c>
      <c r="J184" s="5"/>
    </row>
    <row r="185" ht="15.75" customHeight="1">
      <c r="A185" s="19">
        <v>44291.0</v>
      </c>
      <c r="B185" s="7" t="str">
        <f>HYPERLINK("https://www.ias.edu/","Institute for Advanced Study (IAS)")</f>
        <v>Institute for Advanced Study (IAS)</v>
      </c>
      <c r="C185" s="8" t="s">
        <v>10</v>
      </c>
      <c r="D185" s="56" t="s">
        <v>531</v>
      </c>
      <c r="E185" s="18" t="s">
        <v>106</v>
      </c>
      <c r="F185" s="9" t="s">
        <v>371</v>
      </c>
      <c r="G185" s="26"/>
      <c r="H185" s="9"/>
      <c r="I185" s="16" t="s">
        <v>532</v>
      </c>
      <c r="J185" s="5"/>
    </row>
    <row r="186" ht="15.75" customHeight="1">
      <c r="A186" s="19">
        <v>45028.0</v>
      </c>
      <c r="B186" s="7" t="str">
        <f>HYPERLINK("https://www.nih.gov/","National Institutes of Health")</f>
        <v>National Institutes of Health</v>
      </c>
      <c r="C186" s="8" t="s">
        <v>41</v>
      </c>
      <c r="D186" s="7" t="s">
        <v>533</v>
      </c>
      <c r="E186" s="18" t="s">
        <v>77</v>
      </c>
      <c r="F186" s="18" t="s">
        <v>221</v>
      </c>
      <c r="G186" s="18"/>
      <c r="H186" s="9"/>
      <c r="I186" s="16" t="s">
        <v>534</v>
      </c>
      <c r="J186" s="5"/>
    </row>
    <row r="187" ht="15.75" customHeight="1">
      <c r="A187" s="19">
        <v>45028.0</v>
      </c>
      <c r="B187" s="7" t="str">
        <f>HYPERLINK("https://www.neh.gov/","National Endowment for the Humanities")</f>
        <v>National Endowment for the Humanities</v>
      </c>
      <c r="C187" s="8" t="s">
        <v>41</v>
      </c>
      <c r="D187" s="7" t="s">
        <v>299</v>
      </c>
      <c r="E187" s="18" t="s">
        <v>45</v>
      </c>
      <c r="F187" s="9" t="s">
        <v>66</v>
      </c>
      <c r="G187" s="15"/>
      <c r="H187" s="9" t="s">
        <v>535</v>
      </c>
      <c r="I187" s="27" t="s">
        <v>536</v>
      </c>
      <c r="J187" s="5"/>
    </row>
    <row r="188" ht="15.75" customHeight="1">
      <c r="A188" s="19">
        <v>45179.0</v>
      </c>
      <c r="B188" s="7" t="str">
        <f>HYPERLINK("http://www.macdowellcolony.org/","MacDowell Colony")</f>
        <v>MacDowell Colony</v>
      </c>
      <c r="C188" s="8" t="s">
        <v>16</v>
      </c>
      <c r="D188" s="7" t="str">
        <f>HYPERLINK("http://www.macdowellcolony.org/apply","Residencies")</f>
        <v>Residencies</v>
      </c>
      <c r="E188" s="18" t="s">
        <v>233</v>
      </c>
      <c r="F188" s="9" t="s">
        <v>34</v>
      </c>
      <c r="G188" s="9"/>
      <c r="H188" s="9"/>
      <c r="I188" s="27" t="s">
        <v>537</v>
      </c>
      <c r="J188" s="5"/>
    </row>
    <row r="189" ht="15.75" customHeight="1">
      <c r="A189" s="57">
        <v>45078.0</v>
      </c>
      <c r="B189" s="7" t="str">
        <f t="shared" ref="B189:B190" si="9">HYPERLINK("http://www.whitehall.org/about/","Whitehall Foundation")</f>
        <v>Whitehall Foundation</v>
      </c>
      <c r="C189" s="8" t="s">
        <v>16</v>
      </c>
      <c r="D189" s="7" t="str">
        <f>HYPERLINK("http://www.whitehall.org/about/","Research Grants")</f>
        <v>Research Grants</v>
      </c>
      <c r="E189" s="18" t="s">
        <v>77</v>
      </c>
      <c r="F189" s="15" t="s">
        <v>90</v>
      </c>
      <c r="G189" s="15"/>
      <c r="H189" s="9" t="s">
        <v>538</v>
      </c>
      <c r="I189" s="16" t="s">
        <v>539</v>
      </c>
      <c r="J189" s="5"/>
    </row>
    <row r="190" ht="15.75" customHeight="1">
      <c r="A190" s="19">
        <v>45078.0</v>
      </c>
      <c r="B190" s="7" t="str">
        <f t="shared" si="9"/>
        <v>Whitehall Foundation</v>
      </c>
      <c r="C190" s="8" t="s">
        <v>16</v>
      </c>
      <c r="D190" s="63" t="str">
        <f>HYPERLINK("http://www.whitehall.org/about/","Grants-in-Aid")</f>
        <v>Grants-in-Aid</v>
      </c>
      <c r="E190" s="18" t="s">
        <v>77</v>
      </c>
      <c r="F190" s="15" t="s">
        <v>90</v>
      </c>
      <c r="G190" s="18"/>
      <c r="H190" s="9"/>
      <c r="I190" s="16" t="s">
        <v>540</v>
      </c>
      <c r="J190" s="5"/>
    </row>
    <row r="191" ht="15.75" customHeight="1">
      <c r="A191" s="19">
        <v>45031.0</v>
      </c>
      <c r="B191" s="7" t="str">
        <f>HYPERLINK("https://www.apsanet.org/","American Political Science Association")</f>
        <v>American Political Science Association</v>
      </c>
      <c r="C191" s="8" t="s">
        <v>16</v>
      </c>
      <c r="D191" s="7" t="s">
        <v>541</v>
      </c>
      <c r="E191" s="18" t="s">
        <v>328</v>
      </c>
      <c r="F191" s="18" t="s">
        <v>90</v>
      </c>
      <c r="G191" s="18" t="s">
        <v>363</v>
      </c>
      <c r="H191" s="9" t="s">
        <v>339</v>
      </c>
      <c r="I191" s="16" t="s">
        <v>542</v>
      </c>
      <c r="J191" s="5"/>
    </row>
    <row r="192" ht="15.75" customHeight="1">
      <c r="A192" s="19">
        <v>44302.0</v>
      </c>
      <c r="B192" s="7" t="str">
        <f>HYPERLINK("usda.gov","United States Department of Agriculture")</f>
        <v>United States Department of Agriculture</v>
      </c>
      <c r="C192" s="18" t="s">
        <v>41</v>
      </c>
      <c r="D192" s="13" t="s">
        <v>543</v>
      </c>
      <c r="E192" s="18" t="s">
        <v>77</v>
      </c>
      <c r="F192" s="9" t="s">
        <v>477</v>
      </c>
      <c r="G192" s="9"/>
      <c r="H192" s="9" t="s">
        <v>544</v>
      </c>
      <c r="I192" s="27" t="s">
        <v>545</v>
      </c>
      <c r="J192" s="5"/>
    </row>
    <row r="193" ht="15.75" customHeight="1">
      <c r="A193" s="19">
        <v>44986.0</v>
      </c>
      <c r="B193" s="7" t="str">
        <f>HYPERLINK("https://www.ashfoundation.org/","Ash Foundation")</f>
        <v>Ash Foundation</v>
      </c>
      <c r="C193" s="8" t="s">
        <v>16</v>
      </c>
      <c r="D193" s="7" t="str">
        <f>HYPERLINK("https://www.ashfoundation.org/Apply/New-Investigators-Research-Grant/","New Investigators Research Grant, American Speech-Language-Hearing Foundation")</f>
        <v>New Investigators Research Grant, American Speech-Language-Hearing Foundation</v>
      </c>
      <c r="E193" s="18" t="s">
        <v>394</v>
      </c>
      <c r="F193" s="15" t="s">
        <v>90</v>
      </c>
      <c r="G193" s="15"/>
      <c r="H193" s="9"/>
      <c r="I193" s="16" t="s">
        <v>467</v>
      </c>
      <c r="J193" s="5"/>
    </row>
    <row r="194" ht="15.75" customHeight="1">
      <c r="A194" s="19">
        <v>45043.0</v>
      </c>
      <c r="B194" s="7" t="str">
        <f>HYPERLINK("https://www.arts.gov/","National Endowment for the Arts")</f>
        <v>National Endowment for the Arts</v>
      </c>
      <c r="C194" s="8" t="s">
        <v>41</v>
      </c>
      <c r="D194" s="7" t="str">
        <f>HYPERLINK("https://www.arts.gov/grants-organizations/challenge-america/grant-program-description","Challange America Grants")</f>
        <v>Challange America Grants</v>
      </c>
      <c r="E194" s="18" t="s">
        <v>17</v>
      </c>
      <c r="F194" s="9" t="s">
        <v>546</v>
      </c>
      <c r="G194" s="9"/>
      <c r="H194" s="23">
        <v>10000.0</v>
      </c>
      <c r="I194" s="27" t="s">
        <v>547</v>
      </c>
      <c r="J194" s="5"/>
    </row>
    <row r="195" ht="15.75" customHeight="1">
      <c r="A195" s="19">
        <v>45029.0</v>
      </c>
      <c r="B195" s="7" t="str">
        <f>HYPERLINK("https://www.pmi.org/","Project Management Institute")</f>
        <v>Project Management Institute</v>
      </c>
      <c r="C195" s="8" t="s">
        <v>10</v>
      </c>
      <c r="D195" s="7" t="s">
        <v>548</v>
      </c>
      <c r="E195" s="18" t="s">
        <v>45</v>
      </c>
      <c r="F195" s="15"/>
      <c r="G195" s="15"/>
      <c r="H195" s="9"/>
      <c r="I195" s="16" t="s">
        <v>549</v>
      </c>
      <c r="J195" s="5"/>
    </row>
    <row r="196" ht="15.75" customHeight="1">
      <c r="A196" s="19">
        <v>44312.0</v>
      </c>
      <c r="B196" s="7" t="str">
        <f>HYPERLINK("https://www.mcknight.org/","McKnight Foundation")</f>
        <v>McKnight Foundation</v>
      </c>
      <c r="C196" s="8" t="s">
        <v>16</v>
      </c>
      <c r="D196" s="7" t="str">
        <f>HYPERLINK("https://www.mcknight.org/programs/the-mcknight-endowment-fund-for-neuroscience/technology-awards/","Technological Innovations in Neuroscience")</f>
        <v>Technological Innovations in Neuroscience</v>
      </c>
      <c r="E196" s="18" t="s">
        <v>194</v>
      </c>
      <c r="F196" s="9" t="s">
        <v>550</v>
      </c>
      <c r="G196" s="9"/>
      <c r="H196" s="9" t="s">
        <v>551</v>
      </c>
      <c r="I196" s="16" t="s">
        <v>552</v>
      </c>
      <c r="J196" s="5"/>
    </row>
    <row r="197" ht="15.75" customHeight="1">
      <c r="A197" s="19">
        <v>44312.0</v>
      </c>
      <c r="B197" s="66" t="str">
        <f>HYPERLINK("http://www.jp2center.org/","John Paul II Center")</f>
        <v>John Paul II Center</v>
      </c>
      <c r="C197" s="8" t="s">
        <v>10</v>
      </c>
      <c r="D197" s="17" t="s">
        <v>553</v>
      </c>
      <c r="E197" s="18" t="s">
        <v>554</v>
      </c>
      <c r="F197" s="9" t="s">
        <v>34</v>
      </c>
      <c r="G197" s="9"/>
      <c r="H197" s="9"/>
      <c r="I197" s="16" t="s">
        <v>555</v>
      </c>
      <c r="J197" s="5"/>
    </row>
    <row r="198" ht="15.75" customHeight="1">
      <c r="A198" s="19">
        <v>45042.0</v>
      </c>
      <c r="B198" s="7" t="str">
        <f>HYPERLINK("http://www.nla.gov.au/","National Library of Australia")</f>
        <v>National Library of Australia</v>
      </c>
      <c r="C198" s="67" t="s">
        <v>49</v>
      </c>
      <c r="D198" s="68" t="str">
        <f>HYPERLINK("https://www.nla.gov.au/fellowships-and-scholarships","National Library of Australia Fellowships")</f>
        <v>National Library of Australia Fellowships</v>
      </c>
      <c r="E198" s="18" t="s">
        <v>45</v>
      </c>
      <c r="F198" s="9" t="s">
        <v>66</v>
      </c>
      <c r="G198" s="9"/>
      <c r="H198" s="9" t="s">
        <v>556</v>
      </c>
      <c r="I198" s="27" t="s">
        <v>557</v>
      </c>
      <c r="J198" s="5"/>
    </row>
    <row r="199" ht="15.75" customHeight="1">
      <c r="A199" s="19">
        <v>45035.0</v>
      </c>
      <c r="B199" s="7" t="str">
        <f>HYPERLINK("https://www.neh.gov/","National Endowment for the Humanities")</f>
        <v>National Endowment for the Humanities</v>
      </c>
      <c r="C199" s="8" t="s">
        <v>41</v>
      </c>
      <c r="D199" s="7" t="s">
        <v>558</v>
      </c>
      <c r="E199" s="18" t="s">
        <v>45</v>
      </c>
      <c r="F199" s="15" t="s">
        <v>143</v>
      </c>
      <c r="G199" s="15"/>
      <c r="H199" s="9"/>
      <c r="I199" s="27" t="s">
        <v>559</v>
      </c>
      <c r="J199" s="5"/>
    </row>
    <row r="200" ht="15.75" customHeight="1">
      <c r="A200" s="19">
        <v>45042.0</v>
      </c>
      <c r="B200" s="7" t="str">
        <f>HYPERLINK("neh.gov","National Endowment for the Humanities")</f>
        <v>National Endowment for the Humanities</v>
      </c>
      <c r="C200" s="8" t="s">
        <v>41</v>
      </c>
      <c r="D200" s="13" t="s">
        <v>560</v>
      </c>
      <c r="E200" s="18" t="s">
        <v>394</v>
      </c>
      <c r="F200" s="15" t="s">
        <v>66</v>
      </c>
      <c r="G200" s="15"/>
      <c r="H200" s="9"/>
      <c r="I200" s="27" t="s">
        <v>561</v>
      </c>
      <c r="J200" s="5"/>
    </row>
    <row r="201" ht="15.75" customHeight="1">
      <c r="A201" s="19">
        <v>44316.0</v>
      </c>
      <c r="B201" s="7" t="str">
        <f>HYPERLINK("https://smlr.rutgers.edu/","Rutgers University")</f>
        <v>Rutgers University</v>
      </c>
      <c r="C201" s="8" t="s">
        <v>10</v>
      </c>
      <c r="D201" s="7" t="s">
        <v>562</v>
      </c>
      <c r="E201" s="18" t="s">
        <v>394</v>
      </c>
      <c r="F201" s="9" t="s">
        <v>66</v>
      </c>
      <c r="G201" s="9"/>
      <c r="H201" s="23">
        <v>12500.0</v>
      </c>
      <c r="I201" s="16" t="s">
        <v>563</v>
      </c>
      <c r="J201" s="5"/>
    </row>
    <row r="202" ht="15.75" customHeight="1">
      <c r="A202" s="28">
        <v>44316.0</v>
      </c>
      <c r="B202" s="7" t="str">
        <f>HYPERLINK("http://www.feminist-review-trust.com/","Feminist Review Trust")</f>
        <v>Feminist Review Trust</v>
      </c>
      <c r="C202" s="8" t="s">
        <v>16</v>
      </c>
      <c r="D202" s="17" t="s">
        <v>564</v>
      </c>
      <c r="E202" s="18" t="s">
        <v>82</v>
      </c>
      <c r="F202" s="9" t="s">
        <v>138</v>
      </c>
      <c r="G202" s="9"/>
      <c r="H202" s="9"/>
      <c r="I202" s="16" t="s">
        <v>565</v>
      </c>
      <c r="J202" s="5"/>
    </row>
    <row r="203" ht="15.75" customHeight="1">
      <c r="A203" s="30">
        <v>44316.0</v>
      </c>
      <c r="B203" s="7" t="s">
        <v>566</v>
      </c>
      <c r="C203" s="8" t="s">
        <v>49</v>
      </c>
      <c r="D203" s="7" t="str">
        <f>HYPERLINK("http://www.asor.org/fellowships/mesopotamian-fellowship/","Mesopotamian Fellowship")</f>
        <v>Mesopotamian Fellowship</v>
      </c>
      <c r="E203" s="18" t="s">
        <v>567</v>
      </c>
      <c r="F203" s="9" t="s">
        <v>66</v>
      </c>
      <c r="G203" s="9"/>
      <c r="H203" s="23">
        <v>9000.0</v>
      </c>
      <c r="I203" s="16" t="s">
        <v>568</v>
      </c>
      <c r="J203" s="5"/>
    </row>
    <row r="204" ht="15.75" customHeight="1">
      <c r="A204" s="19">
        <v>44316.0</v>
      </c>
      <c r="B204" s="13" t="s">
        <v>569</v>
      </c>
      <c r="C204" s="14" t="s">
        <v>16</v>
      </c>
      <c r="D204" s="13" t="s">
        <v>570</v>
      </c>
      <c r="E204" s="50" t="s">
        <v>45</v>
      </c>
      <c r="F204" s="50" t="s">
        <v>221</v>
      </c>
      <c r="G204" s="10"/>
      <c r="H204" s="69" t="s">
        <v>571</v>
      </c>
      <c r="I204" s="53" t="s">
        <v>572</v>
      </c>
      <c r="J204" s="5"/>
    </row>
    <row r="205" ht="15.75" customHeight="1">
      <c r="A205" s="19">
        <v>45026.0</v>
      </c>
      <c r="B205" s="7" t="str">
        <f>HYPERLINK("https://brown.columbia.edu/about/","Columbia Brown Institute")</f>
        <v>Columbia Brown Institute</v>
      </c>
      <c r="C205" s="8" t="s">
        <v>10</v>
      </c>
      <c r="D205" s="7" t="str">
        <f>HYPERLINK("https://brown.columbia.edu/propose/","Magic Grant")</f>
        <v>Magic Grant</v>
      </c>
      <c r="E205" s="9" t="s">
        <v>45</v>
      </c>
      <c r="F205" s="9" t="s">
        <v>143</v>
      </c>
      <c r="G205" s="10"/>
      <c r="H205" s="70">
        <v>150000.0</v>
      </c>
      <c r="I205" s="11" t="s">
        <v>573</v>
      </c>
      <c r="J205" s="5"/>
    </row>
    <row r="206" ht="15.75" customHeight="1">
      <c r="A206" s="19">
        <v>45047.0</v>
      </c>
      <c r="B206" s="7" t="str">
        <f t="shared" ref="B206:B207" si="10">HYPERLINK("http://www.wennergren.org/","Wenner Gren Foundation")</f>
        <v>Wenner Gren Foundation</v>
      </c>
      <c r="C206" s="9" t="s">
        <v>16</v>
      </c>
      <c r="D206" s="22" t="s">
        <v>574</v>
      </c>
      <c r="E206" s="18" t="s">
        <v>394</v>
      </c>
      <c r="F206" s="15" t="s">
        <v>66</v>
      </c>
      <c r="G206" s="15" t="s">
        <v>575</v>
      </c>
      <c r="H206" s="23">
        <v>40000.0</v>
      </c>
      <c r="I206" s="16"/>
      <c r="J206" s="5"/>
    </row>
    <row r="207" ht="15.75" customHeight="1">
      <c r="A207" s="71">
        <v>45047.0</v>
      </c>
      <c r="B207" s="7" t="str">
        <f t="shared" si="10"/>
        <v>Wenner Gren Foundation</v>
      </c>
      <c r="C207" s="8" t="s">
        <v>16</v>
      </c>
      <c r="D207" s="22" t="s">
        <v>576</v>
      </c>
      <c r="E207" s="18" t="s">
        <v>577</v>
      </c>
      <c r="F207" s="15" t="s">
        <v>578</v>
      </c>
      <c r="G207" s="15"/>
      <c r="H207" s="9" t="s">
        <v>72</v>
      </c>
      <c r="I207" s="27" t="s">
        <v>579</v>
      </c>
      <c r="J207" s="5"/>
    </row>
    <row r="208" ht="15.75" customHeight="1">
      <c r="A208" s="19">
        <v>45049.0</v>
      </c>
      <c r="B208" s="7" t="str">
        <f>HYPERLINK("http://www.russellsage.org/","Russell Sage Foundation")</f>
        <v>Russell Sage Foundation</v>
      </c>
      <c r="C208" s="8" t="s">
        <v>16</v>
      </c>
      <c r="D208" s="7" t="s">
        <v>580</v>
      </c>
      <c r="E208" s="18" t="s">
        <v>581</v>
      </c>
      <c r="F208" s="9" t="s">
        <v>90</v>
      </c>
      <c r="G208" s="9"/>
      <c r="H208" s="9" t="s">
        <v>582</v>
      </c>
      <c r="I208" s="27" t="s">
        <v>583</v>
      </c>
      <c r="J208" s="5"/>
    </row>
    <row r="209" ht="15.75" hidden="1" customHeight="1">
      <c r="A209" s="72">
        <v>44214.0</v>
      </c>
      <c r="B209" s="7" t="str">
        <f>HYPERLINK("http://archive.arce.org/","American Research Center in Egypt")</f>
        <v>American Research Center in Egypt</v>
      </c>
      <c r="C209" s="8" t="s">
        <v>41</v>
      </c>
      <c r="D209" s="17" t="s">
        <v>66</v>
      </c>
      <c r="E209" s="18" t="s">
        <v>55</v>
      </c>
      <c r="F209" s="9" t="s">
        <v>34</v>
      </c>
      <c r="G209" s="9"/>
      <c r="H209" s="9" t="s">
        <v>584</v>
      </c>
      <c r="I209" s="16" t="s">
        <v>585</v>
      </c>
      <c r="J209" s="5"/>
    </row>
    <row r="210" ht="15.75" customHeight="1">
      <c r="A210" s="19">
        <v>45049.0</v>
      </c>
      <c r="B210" s="7" t="str">
        <f t="shared" ref="B210:B212" si="11">HYPERLINK("http://www.russellsage.org/","Russell Sage Foundation")</f>
        <v>Russell Sage Foundation</v>
      </c>
      <c r="C210" s="8" t="s">
        <v>16</v>
      </c>
      <c r="D210" s="7" t="str">
        <f>HYPERLINK("http://www.russellsage.org/research/funding/future-work","Future of Work")</f>
        <v>Future of Work</v>
      </c>
      <c r="E210" s="18" t="s">
        <v>394</v>
      </c>
      <c r="F210" s="18" t="s">
        <v>90</v>
      </c>
      <c r="G210" s="18"/>
      <c r="H210" s="9" t="s">
        <v>586</v>
      </c>
      <c r="I210" s="27" t="s">
        <v>587</v>
      </c>
      <c r="J210" s="5"/>
    </row>
    <row r="211" ht="15.75" customHeight="1">
      <c r="A211" s="19">
        <v>45049.0</v>
      </c>
      <c r="B211" s="7" t="str">
        <f t="shared" si="11"/>
        <v>Russell Sage Foundation</v>
      </c>
      <c r="C211" s="8" t="s">
        <v>16</v>
      </c>
      <c r="D211" s="7" t="str">
        <f>HYPERLINK("http://www.russellsage.org/research/funding/social-inequality","Social Inequality")</f>
        <v>Social Inequality</v>
      </c>
      <c r="E211" s="18" t="s">
        <v>394</v>
      </c>
      <c r="F211" s="18" t="s">
        <v>90</v>
      </c>
      <c r="G211" s="18"/>
      <c r="H211" s="9" t="s">
        <v>586</v>
      </c>
      <c r="I211" s="27" t="s">
        <v>588</v>
      </c>
      <c r="J211" s="40"/>
    </row>
    <row r="212" ht="15.75" customHeight="1">
      <c r="A212" s="28">
        <v>44320.0</v>
      </c>
      <c r="B212" s="7" t="str">
        <f t="shared" si="11"/>
        <v>Russell Sage Foundation</v>
      </c>
      <c r="C212" s="8" t="s">
        <v>16</v>
      </c>
      <c r="D212" s="13" t="s">
        <v>589</v>
      </c>
      <c r="E212" s="18" t="s">
        <v>394</v>
      </c>
      <c r="F212" s="9" t="s">
        <v>90</v>
      </c>
      <c r="G212" s="9"/>
      <c r="H212" s="9" t="s">
        <v>586</v>
      </c>
      <c r="I212" s="16" t="s">
        <v>590</v>
      </c>
      <c r="J212" s="5"/>
    </row>
    <row r="213" ht="15.75" customHeight="1">
      <c r="A213" s="19">
        <v>44322.0</v>
      </c>
      <c r="B213" s="7" t="str">
        <f>HYPERLINK("https://www.acls.org/","American Council of Learned Societies")</f>
        <v>American Council of Learned Societies</v>
      </c>
      <c r="C213" s="8" t="s">
        <v>16</v>
      </c>
      <c r="D213" s="13" t="s">
        <v>591</v>
      </c>
      <c r="E213" s="18" t="s">
        <v>45</v>
      </c>
      <c r="F213" s="9" t="s">
        <v>66</v>
      </c>
      <c r="G213" s="50" t="s">
        <v>592</v>
      </c>
      <c r="H213" s="50" t="s">
        <v>593</v>
      </c>
      <c r="I213" s="16" t="s">
        <v>594</v>
      </c>
      <c r="J213" s="5"/>
    </row>
    <row r="214" ht="15.75" customHeight="1">
      <c r="A214" s="19">
        <v>44323.0</v>
      </c>
      <c r="B214" s="7" t="str">
        <f>HYPERLINK("https://roddenberryfellowship.org/","Roddenberry Fellowship")</f>
        <v>Roddenberry Fellowship</v>
      </c>
      <c r="C214" s="8" t="s">
        <v>16</v>
      </c>
      <c r="D214" s="7" t="str">
        <f>HYPERLINK("https://roddenberryfellowship.org/about/","Roddenberry Fellowship")</f>
        <v>Roddenberry Fellowship</v>
      </c>
      <c r="E214" s="18" t="s">
        <v>45</v>
      </c>
      <c r="F214" s="9" t="s">
        <v>595</v>
      </c>
      <c r="G214" s="9"/>
      <c r="H214" s="23">
        <v>50000.0</v>
      </c>
      <c r="I214" s="16" t="s">
        <v>596</v>
      </c>
      <c r="J214" s="5"/>
    </row>
    <row r="215" ht="15.75" customHeight="1">
      <c r="A215" s="19">
        <v>44326.0</v>
      </c>
      <c r="B215" s="7" t="str">
        <f>HYPERLINK("http://www.amielandmelburn.org.uk/","Barry Amiel and Norman Melburn Trust")</f>
        <v>Barry Amiel and Norman Melburn Trust</v>
      </c>
      <c r="C215" s="8" t="s">
        <v>16</v>
      </c>
      <c r="D215" s="7" t="s">
        <v>597</v>
      </c>
      <c r="E215" s="18" t="s">
        <v>82</v>
      </c>
      <c r="F215" s="9" t="s">
        <v>221</v>
      </c>
      <c r="G215" s="9"/>
      <c r="H215" s="9"/>
      <c r="I215" s="73" t="s">
        <v>598</v>
      </c>
      <c r="J215" s="5"/>
    </row>
    <row r="216" ht="15.75" customHeight="1">
      <c r="A216" s="19">
        <v>44474.0</v>
      </c>
      <c r="B216" s="7" t="str">
        <f>HYPERLINK("http://www.aera.net","American Educational Research Association")</f>
        <v>American Educational Research Association</v>
      </c>
      <c r="C216" s="8" t="s">
        <v>16</v>
      </c>
      <c r="D216" s="7" t="str">
        <f>HYPERLINK("http://www.aera.net/Professional-Opportunities-Funding/AERA-Funding-Opportunities/Grants-Program/Research-Grants","Research Grants")</f>
        <v>Research Grants</v>
      </c>
      <c r="E216" s="18" t="s">
        <v>306</v>
      </c>
      <c r="F216" s="18" t="s">
        <v>90</v>
      </c>
      <c r="G216" s="15"/>
      <c r="H216" s="23" t="s">
        <v>599</v>
      </c>
      <c r="I216" s="27" t="s">
        <v>600</v>
      </c>
      <c r="J216" s="5"/>
    </row>
    <row r="217" ht="15.75" customHeight="1">
      <c r="A217" s="21">
        <v>44330.0</v>
      </c>
      <c r="B217" s="7" t="str">
        <f>HYPERLINK("https://www.sas.ac.uk/","Univeristy of London, School of Advanced Study")</f>
        <v>Univeristy of London, School of Advanced Study</v>
      </c>
      <c r="C217" s="8" t="s">
        <v>10</v>
      </c>
      <c r="D217" s="7" t="s">
        <v>601</v>
      </c>
      <c r="E217" s="18" t="s">
        <v>24</v>
      </c>
      <c r="F217" s="9" t="s">
        <v>87</v>
      </c>
      <c r="G217" s="9"/>
      <c r="H217" s="23" t="s">
        <v>341</v>
      </c>
      <c r="I217" s="16" t="s">
        <v>602</v>
      </c>
      <c r="J217" s="5"/>
    </row>
    <row r="218" ht="15.75" customHeight="1">
      <c r="A218" s="19">
        <v>44330.0</v>
      </c>
      <c r="B218" s="7" t="str">
        <f>HYPERLINK("https://www.nypl.org/","New York Public Library")</f>
        <v>New York Public Library</v>
      </c>
      <c r="C218" s="8" t="s">
        <v>49</v>
      </c>
      <c r="D218" s="7" t="str">
        <f>HYPERLINK("https://www.nypl.org/dance-fellowship","Dance Research Fellowships")</f>
        <v>Dance Research Fellowships</v>
      </c>
      <c r="E218" s="18" t="s">
        <v>603</v>
      </c>
      <c r="F218" s="18" t="s">
        <v>34</v>
      </c>
      <c r="G218" s="9"/>
      <c r="H218" s="23">
        <v>7500.0</v>
      </c>
      <c r="I218" s="16" t="s">
        <v>604</v>
      </c>
      <c r="J218" s="5"/>
    </row>
    <row r="219" ht="15.75" customHeight="1">
      <c r="A219" s="19">
        <v>45057.0</v>
      </c>
      <c r="B219" s="7" t="str">
        <f>HYPERLINK("https://www.sfn.org","Society for Neuroscience")</f>
        <v>Society for Neuroscience</v>
      </c>
      <c r="C219" s="8" t="s">
        <v>16</v>
      </c>
      <c r="D219" s="49" t="s">
        <v>605</v>
      </c>
      <c r="E219" s="18" t="s">
        <v>194</v>
      </c>
      <c r="F219" s="9" t="s">
        <v>138</v>
      </c>
      <c r="G219" s="9"/>
      <c r="H219" s="9"/>
      <c r="I219" s="27" t="s">
        <v>606</v>
      </c>
      <c r="J219" s="5"/>
    </row>
    <row r="220" ht="15.75" customHeight="1">
      <c r="A220" s="19">
        <v>45051.0</v>
      </c>
      <c r="B220" s="7" t="str">
        <f>HYPERLINK("https://www.simonsfoundation.org/","Simons Foundation")</f>
        <v>Simons Foundation</v>
      </c>
      <c r="C220" s="8" t="s">
        <v>16</v>
      </c>
      <c r="D220" s="7" t="str">
        <f>HYPERLINK("https://www.simonsfoundation.org/grant/simons-postdoctoral-fellowships-in-marine-microbial-ecology/","Fellowships in Marine Microbial Ecology")</f>
        <v>Fellowships in Marine Microbial Ecology</v>
      </c>
      <c r="E220" s="18" t="s">
        <v>188</v>
      </c>
      <c r="F220" s="9" t="s">
        <v>107</v>
      </c>
      <c r="G220" s="9" t="s">
        <v>607</v>
      </c>
      <c r="H220" s="9" t="s">
        <v>608</v>
      </c>
      <c r="I220" s="27" t="s">
        <v>609</v>
      </c>
      <c r="J220" s="5"/>
    </row>
    <row r="221" ht="15.75" customHeight="1">
      <c r="A221" s="19">
        <v>44331.0</v>
      </c>
      <c r="B221" s="7" t="str">
        <f>HYPERLINK("https://smlr.rutgers.edu/","Rutgers University")</f>
        <v>Rutgers University</v>
      </c>
      <c r="C221" s="8" t="s">
        <v>610</v>
      </c>
      <c r="D221" s="7" t="str">
        <f>HYPERLINK("https://smlr.rutgers.edu/content/fellowships-professorships","Beyster Postdoctoral Fellowship")</f>
        <v>Beyster Postdoctoral Fellowship</v>
      </c>
      <c r="E221" s="18" t="s">
        <v>394</v>
      </c>
      <c r="F221" s="9" t="s">
        <v>66</v>
      </c>
      <c r="G221" s="9" t="s">
        <v>72</v>
      </c>
      <c r="H221" s="23">
        <v>25000.0</v>
      </c>
      <c r="I221" s="16" t="s">
        <v>611</v>
      </c>
      <c r="J221" s="5"/>
    </row>
    <row r="222" ht="15.75" customHeight="1">
      <c r="A222" s="19">
        <v>44331.0</v>
      </c>
      <c r="B222" s="7" t="str">
        <f>HYPERLINK("http://harriman.columbia.edu/","Harriman Institute, Columbia University")</f>
        <v>Harriman Institute, Columbia University</v>
      </c>
      <c r="C222" s="8" t="s">
        <v>10</v>
      </c>
      <c r="D222" s="7" t="str">
        <f>HYPERLINK("http://harriman.columbia.edu/content/faculty-research-support","Faculty Research Support")</f>
        <v>Faculty Research Support</v>
      </c>
      <c r="E222" s="9" t="s">
        <v>612</v>
      </c>
      <c r="F222" s="9" t="s">
        <v>90</v>
      </c>
      <c r="G222" s="10"/>
      <c r="H222" s="10"/>
      <c r="I222" s="11" t="s">
        <v>613</v>
      </c>
      <c r="J222" s="5"/>
    </row>
    <row r="223" ht="15.75" customHeight="1">
      <c r="A223" s="19">
        <v>45061.0</v>
      </c>
      <c r="B223" s="7" t="str">
        <f>HYPERLINK("https://www.historians.org/","American Historical Association")</f>
        <v>American Historical Association</v>
      </c>
      <c r="C223" s="18" t="s">
        <v>16</v>
      </c>
      <c r="D223" s="7" t="s">
        <v>614</v>
      </c>
      <c r="E223" s="18" t="s">
        <v>61</v>
      </c>
      <c r="F223" s="9" t="s">
        <v>138</v>
      </c>
      <c r="G223" s="9"/>
      <c r="H223" s="9"/>
      <c r="I223" s="27" t="s">
        <v>615</v>
      </c>
      <c r="J223" s="5"/>
    </row>
    <row r="224" ht="15.75" customHeight="1">
      <c r="A224" s="19">
        <v>45061.0</v>
      </c>
      <c r="B224" s="7" t="str">
        <f>HYPERLINK("https://theccwh.org/","Coordination Council for Women in History")</f>
        <v>Coordination Council for Women in History</v>
      </c>
      <c r="C224" s="8" t="s">
        <v>16</v>
      </c>
      <c r="D224" s="7" t="s">
        <v>616</v>
      </c>
      <c r="E224" s="18" t="s">
        <v>61</v>
      </c>
      <c r="F224" s="9" t="s">
        <v>83</v>
      </c>
      <c r="G224" s="9"/>
      <c r="H224" s="23">
        <v>1000.0</v>
      </c>
      <c r="I224" s="27" t="s">
        <v>617</v>
      </c>
      <c r="J224" s="5"/>
    </row>
    <row r="225" ht="15.75" customHeight="1">
      <c r="A225" s="19">
        <v>45061.0</v>
      </c>
      <c r="B225" s="7" t="str">
        <f>HYPERLINK("https://www.wilsoncenter.org/","Wilson Center")</f>
        <v>Wilson Center</v>
      </c>
      <c r="C225" s="8" t="s">
        <v>16</v>
      </c>
      <c r="D225" s="7" t="str">
        <f>HYPERLINK("https://www.wilsoncenter.org/opportunity/billington-fellowship","Billington Fellowship")</f>
        <v>Billington Fellowship</v>
      </c>
      <c r="E225" s="18" t="s">
        <v>426</v>
      </c>
      <c r="F225" s="9" t="s">
        <v>34</v>
      </c>
      <c r="G225" s="9" t="s">
        <v>72</v>
      </c>
      <c r="H225" s="9" t="s">
        <v>618</v>
      </c>
      <c r="I225" s="27" t="s">
        <v>619</v>
      </c>
      <c r="J225" s="5"/>
    </row>
    <row r="226" ht="15.75" customHeight="1">
      <c r="A226" s="19">
        <v>45031.0</v>
      </c>
      <c r="B226" s="7" t="str">
        <f>HYPERLINK("https://www.srs.org/","Scoliosis Research Society")</f>
        <v>Scoliosis Research Society</v>
      </c>
      <c r="C226" s="8" t="s">
        <v>16</v>
      </c>
      <c r="D226" s="7" t="str">
        <f>HYPERLINK("http://www.srs.org/professionals/research-and-journal/research-grants","Research Grants")</f>
        <v>Research Grants</v>
      </c>
      <c r="E226" s="18" t="s">
        <v>77</v>
      </c>
      <c r="F226" s="15" t="s">
        <v>90</v>
      </c>
      <c r="G226" s="15"/>
      <c r="H226" s="9" t="s">
        <v>620</v>
      </c>
      <c r="I226" s="27" t="s">
        <v>621</v>
      </c>
      <c r="J226" s="5"/>
    </row>
    <row r="227" ht="15.75" customHeight="1">
      <c r="A227" s="19">
        <v>45061.0</v>
      </c>
      <c r="B227" s="7" t="str">
        <f>HYPERLINK("https://theccwh.org/","Coordination Council for Women in History")</f>
        <v>Coordination Council for Women in History</v>
      </c>
      <c r="C227" s="8" t="s">
        <v>16</v>
      </c>
      <c r="D227" s="7" t="s">
        <v>622</v>
      </c>
      <c r="E227" s="18" t="s">
        <v>61</v>
      </c>
      <c r="F227" s="9" t="s">
        <v>138</v>
      </c>
      <c r="G227" s="9" t="s">
        <v>623</v>
      </c>
      <c r="H227" s="23">
        <v>20000.0</v>
      </c>
      <c r="I227" s="27" t="s">
        <v>624</v>
      </c>
      <c r="J227" s="5"/>
    </row>
    <row r="228" ht="15.75" customHeight="1">
      <c r="A228" s="19">
        <v>45061.0</v>
      </c>
      <c r="B228" s="13" t="s">
        <v>625</v>
      </c>
      <c r="C228" s="8" t="s">
        <v>16</v>
      </c>
      <c r="D228" s="7" t="str">
        <f>HYPERLINK("http://www.einsteinforum.de/about/fellowship/?lang=en","The Einstein Fellowship")</f>
        <v>The Einstein Fellowship</v>
      </c>
      <c r="E228" s="18" t="s">
        <v>45</v>
      </c>
      <c r="F228" s="9" t="s">
        <v>34</v>
      </c>
      <c r="G228" s="9"/>
      <c r="H228" s="9" t="s">
        <v>626</v>
      </c>
      <c r="I228" s="27" t="s">
        <v>627</v>
      </c>
      <c r="J228" s="5"/>
    </row>
    <row r="229" ht="15.75" customHeight="1">
      <c r="A229" s="12">
        <v>44332.0</v>
      </c>
      <c r="B229" s="7" t="str">
        <f>HYPERLINK("http://www.italianmodernart.org/","Center for Italian Modern Art")</f>
        <v>Center for Italian Modern Art</v>
      </c>
      <c r="C229" s="8" t="s">
        <v>49</v>
      </c>
      <c r="D229" s="7" t="str">
        <f>HYPERLINK("http://www.italianmodernart.org/fellowship-program/","Fellowship Program")</f>
        <v>Fellowship Program</v>
      </c>
      <c r="E229" s="18" t="s">
        <v>65</v>
      </c>
      <c r="F229" s="9" t="s">
        <v>66</v>
      </c>
      <c r="G229" s="9"/>
      <c r="H229" s="23"/>
      <c r="I229" s="27" t="s">
        <v>628</v>
      </c>
      <c r="J229" s="5"/>
    </row>
    <row r="230" ht="15.75" customHeight="1">
      <c r="A230" s="30">
        <v>45209.0</v>
      </c>
      <c r="B230" s="13" t="s">
        <v>629</v>
      </c>
      <c r="C230" s="14" t="s">
        <v>16</v>
      </c>
      <c r="D230" s="17" t="s">
        <v>630</v>
      </c>
      <c r="E230" s="6" t="s">
        <v>17</v>
      </c>
      <c r="F230" s="9"/>
      <c r="G230" s="9"/>
      <c r="H230" s="23"/>
      <c r="I230" s="16" t="s">
        <v>631</v>
      </c>
      <c r="J230" s="5"/>
    </row>
    <row r="231" ht="15.75" customHeight="1">
      <c r="A231" s="30">
        <v>45061.0</v>
      </c>
      <c r="B231" s="7" t="str">
        <f>HYPERLINK("https://www.daad.de/en/","DAAD German Academic Exchange Service")</f>
        <v>DAAD German Academic Exchange Service</v>
      </c>
      <c r="C231" s="8" t="s">
        <v>16</v>
      </c>
      <c r="D231" s="7" t="str">
        <f>HYPERLINK("https://www.daad.de/deutschland/stipendium/datenbank/en/21148-scholarship-database/?status=&amp;origin=104&amp;subjectGrps=&amp;daad=1&amp;q=&amp;page=3&amp;detail=50015456","Research Stays for University Academics and Scientists")</f>
        <v>Research Stays for University Academics and Scientists</v>
      </c>
      <c r="E231" s="18" t="s">
        <v>45</v>
      </c>
      <c r="F231" s="9" t="s">
        <v>66</v>
      </c>
      <c r="G231" s="9"/>
      <c r="H231" s="23"/>
      <c r="I231" s="16" t="s">
        <v>632</v>
      </c>
      <c r="J231" s="5"/>
    </row>
    <row r="232" ht="15.75" customHeight="1">
      <c r="A232" s="19">
        <v>44335.0</v>
      </c>
      <c r="B232" s="7" t="str">
        <f>HYPERLINK("https://www.artswriters.org/","Arts Writers")</f>
        <v>Arts Writers</v>
      </c>
      <c r="C232" s="8" t="s">
        <v>16</v>
      </c>
      <c r="D232" s="7" t="str">
        <f>HYPERLINK("http://www.artswriters.org/","Grants Program")</f>
        <v>Grants Program</v>
      </c>
      <c r="E232" s="18" t="s">
        <v>17</v>
      </c>
      <c r="F232" s="9" t="s">
        <v>143</v>
      </c>
      <c r="G232" s="9"/>
      <c r="H232" s="9" t="s">
        <v>633</v>
      </c>
      <c r="I232" s="27" t="s">
        <v>634</v>
      </c>
      <c r="J232" s="5"/>
    </row>
    <row r="233" ht="15.75" customHeight="1">
      <c r="A233" s="19">
        <v>44337.0</v>
      </c>
      <c r="B233" s="7" t="str">
        <f>HYPERLINK("http://www.midatlanticarts.org/","Mid Atlantic Arts Foundation")</f>
        <v>Mid Atlantic Arts Foundation</v>
      </c>
      <c r="C233" s="8" t="s">
        <v>16</v>
      </c>
      <c r="D233" s="7" t="str">
        <f>HYPERLINK("http://www.midatlanticarts.org/grants-programs/grants-for-organizations/#artsconnect","ArtsCONNECT")</f>
        <v>ArtsCONNECT</v>
      </c>
      <c r="E233" s="18" t="s">
        <v>17</v>
      </c>
      <c r="F233" s="9" t="s">
        <v>143</v>
      </c>
      <c r="G233" s="9"/>
      <c r="H233" s="9" t="s">
        <v>635</v>
      </c>
      <c r="I233" s="27" t="s">
        <v>636</v>
      </c>
      <c r="J233" s="5"/>
    </row>
    <row r="234" ht="15.75" customHeight="1">
      <c r="A234" s="19">
        <v>45338.0</v>
      </c>
      <c r="B234" s="7" t="str">
        <f t="shared" ref="B234:B235" si="12">HYPERLINK("https://www.nih.gov/","National Institutes of Health ")</f>
        <v>National Institutes of Health </v>
      </c>
      <c r="C234" s="8" t="s">
        <v>41</v>
      </c>
      <c r="D234" s="7" t="s">
        <v>637</v>
      </c>
      <c r="E234" s="18" t="s">
        <v>77</v>
      </c>
      <c r="F234" s="18" t="s">
        <v>90</v>
      </c>
      <c r="G234" s="18"/>
      <c r="H234" s="9"/>
      <c r="I234" s="27" t="s">
        <v>638</v>
      </c>
      <c r="J234" s="5"/>
    </row>
    <row r="235" ht="15.75" customHeight="1">
      <c r="A235" s="19">
        <v>44341.0</v>
      </c>
      <c r="B235" s="7" t="str">
        <f t="shared" si="12"/>
        <v>National Institutes of Health </v>
      </c>
      <c r="C235" s="8" t="s">
        <v>41</v>
      </c>
      <c r="D235" s="7" t="str">
        <f>HYPERLINK("https://grants.nih.gov/grants/guide/pa-files/PA-17-324.html","Ethical, Legal, and Social Implications of Genomic Research Small Research Grant Program (R03)")</f>
        <v>Ethical, Legal, and Social Implications of Genomic Research Small Research Grant Program (R03)</v>
      </c>
      <c r="E235" s="18" t="s">
        <v>639</v>
      </c>
      <c r="F235" s="9" t="s">
        <v>90</v>
      </c>
      <c r="G235" s="9"/>
      <c r="H235" s="9"/>
      <c r="I235" s="27" t="s">
        <v>640</v>
      </c>
      <c r="J235" s="5"/>
    </row>
    <row r="236" ht="15.75" customHeight="1">
      <c r="A236" s="19">
        <v>45132.0</v>
      </c>
      <c r="B236" s="7" t="str">
        <f>HYPERLINK("https://www.nih.gov/","National Institutes of Health")</f>
        <v>National Institutes of Health</v>
      </c>
      <c r="C236" s="8" t="s">
        <v>41</v>
      </c>
      <c r="D236" s="13" t="s">
        <v>641</v>
      </c>
      <c r="E236" s="18" t="s">
        <v>642</v>
      </c>
      <c r="F236" s="9" t="s">
        <v>90</v>
      </c>
      <c r="G236" s="9"/>
      <c r="H236" s="9"/>
      <c r="I236" s="27" t="s">
        <v>643</v>
      </c>
      <c r="J236" s="5"/>
    </row>
    <row r="237" ht="15.75" customHeight="1">
      <c r="A237" s="19">
        <v>44342.0</v>
      </c>
      <c r="B237" s="7" t="str">
        <f>HYPERLINK("https://www.sas.ac.uk/","Univeristy of London, School of Advanced Study")</f>
        <v>Univeristy of London, School of Advanced Study</v>
      </c>
      <c r="C237" s="8" t="s">
        <v>10</v>
      </c>
      <c r="D237" s="7" t="str">
        <f>HYPERLINK("https://www.sas.ac.uk/support-research/fellowships/externally-funded-fellowships/newton-international-fellowships","Newton International Fellowships")</f>
        <v>Newton International Fellowships</v>
      </c>
      <c r="E237" s="18" t="s">
        <v>45</v>
      </c>
      <c r="F237" s="9" t="s">
        <v>87</v>
      </c>
      <c r="G237" s="9"/>
      <c r="H237" s="23" t="s">
        <v>644</v>
      </c>
      <c r="I237" s="41" t="s">
        <v>645</v>
      </c>
      <c r="J237" s="5"/>
    </row>
    <row r="238" ht="15.75" customHeight="1">
      <c r="A238" s="19">
        <v>45076.0</v>
      </c>
      <c r="B238" s="7" t="s">
        <v>646</v>
      </c>
      <c r="C238" s="8" t="s">
        <v>41</v>
      </c>
      <c r="D238" s="22" t="s">
        <v>647</v>
      </c>
      <c r="E238" s="18" t="s">
        <v>648</v>
      </c>
      <c r="F238" s="9" t="s">
        <v>437</v>
      </c>
      <c r="G238" s="9"/>
      <c r="H238" s="9"/>
      <c r="I238" s="27" t="s">
        <v>649</v>
      </c>
      <c r="J238" s="5"/>
    </row>
    <row r="239" ht="15.75" customHeight="1">
      <c r="A239" s="19">
        <v>44347.0</v>
      </c>
      <c r="B239" s="7" t="s">
        <v>650</v>
      </c>
      <c r="C239" s="8" t="s">
        <v>10</v>
      </c>
      <c r="D239" s="7" t="s">
        <v>651</v>
      </c>
      <c r="E239" s="18" t="s">
        <v>394</v>
      </c>
      <c r="F239" s="9" t="s">
        <v>138</v>
      </c>
      <c r="G239" s="9"/>
      <c r="H239" s="42">
        <v>10000.0</v>
      </c>
      <c r="I239" s="27" t="s">
        <v>652</v>
      </c>
      <c r="J239" s="5"/>
    </row>
    <row r="240" ht="15.75" customHeight="1">
      <c r="A240" s="19">
        <v>45077.0</v>
      </c>
      <c r="B240" s="13" t="s">
        <v>653</v>
      </c>
      <c r="C240" s="14" t="s">
        <v>16</v>
      </c>
      <c r="D240" s="74" t="s">
        <v>654</v>
      </c>
      <c r="E240" s="6" t="s">
        <v>655</v>
      </c>
      <c r="F240" s="6" t="s">
        <v>110</v>
      </c>
      <c r="G240" s="9"/>
      <c r="H240" s="75" t="s">
        <v>656</v>
      </c>
      <c r="I240" s="16" t="s">
        <v>657</v>
      </c>
      <c r="J240" s="5"/>
    </row>
    <row r="241" ht="15.75" customHeight="1">
      <c r="A241" s="19">
        <v>45016.0</v>
      </c>
      <c r="B241" s="7" t="str">
        <f>HYPERLINK("https://library.niu.edu/ulib/","Northern Illinois University Library")</f>
        <v>Northern Illinois University Library</v>
      </c>
      <c r="C241" s="8" t="s">
        <v>10</v>
      </c>
      <c r="D241" s="76" t="s">
        <v>658</v>
      </c>
      <c r="E241" s="18" t="s">
        <v>128</v>
      </c>
      <c r="F241" s="18" t="s">
        <v>34</v>
      </c>
      <c r="G241" s="9"/>
      <c r="H241" s="23">
        <v>2000.0</v>
      </c>
      <c r="I241" s="27" t="s">
        <v>659</v>
      </c>
      <c r="J241" s="5"/>
    </row>
    <row r="242" ht="15.75" customHeight="1">
      <c r="A242" s="19">
        <v>45078.0</v>
      </c>
      <c r="B242" s="7" t="str">
        <f>HYPERLINK("http://clah.h-net.org/","CLAH")</f>
        <v>CLAH</v>
      </c>
      <c r="C242" s="8" t="s">
        <v>16</v>
      </c>
      <c r="D242" s="7" t="s">
        <v>660</v>
      </c>
      <c r="E242" s="18" t="s">
        <v>355</v>
      </c>
      <c r="F242" s="9" t="s">
        <v>83</v>
      </c>
      <c r="G242" s="9"/>
      <c r="H242" s="23">
        <v>5000.0</v>
      </c>
      <c r="I242" s="27" t="s">
        <v>661</v>
      </c>
      <c r="J242" s="5"/>
    </row>
    <row r="243" ht="15.75" customHeight="1">
      <c r="A243" s="19">
        <v>45170.0</v>
      </c>
      <c r="B243" s="7" t="str">
        <f>HYPERLINK("https://twin-cities.umn.edu/","University of Minnesota")</f>
        <v>University of Minnesota</v>
      </c>
      <c r="C243" s="8" t="s">
        <v>10</v>
      </c>
      <c r="D243" s="7" t="s">
        <v>662</v>
      </c>
      <c r="E243" s="18" t="s">
        <v>663</v>
      </c>
      <c r="F243" s="9"/>
      <c r="G243" s="9"/>
      <c r="H243" s="77">
        <v>1000.0</v>
      </c>
      <c r="I243" s="27" t="s">
        <v>664</v>
      </c>
      <c r="J243" s="5"/>
    </row>
    <row r="244" ht="15.75" hidden="1" customHeight="1">
      <c r="A244" s="78">
        <v>44245.0</v>
      </c>
      <c r="B244" s="79" t="str">
        <f>HYPERLINK("https://www.wabashcenter.wabash.edu","Wabash Center")</f>
        <v>Wabash Center</v>
      </c>
      <c r="C244" s="80" t="s">
        <v>665</v>
      </c>
      <c r="D244" s="79" t="s">
        <v>666</v>
      </c>
      <c r="E244" s="81" t="s">
        <v>554</v>
      </c>
      <c r="F244" s="81" t="s">
        <v>143</v>
      </c>
      <c r="G244" s="82"/>
      <c r="H244" s="83"/>
      <c r="I244" s="84" t="s">
        <v>667</v>
      </c>
      <c r="J244" s="5"/>
    </row>
    <row r="245" ht="15.75" customHeight="1">
      <c r="A245" s="19">
        <v>45043.0</v>
      </c>
      <c r="B245" s="7" t="s">
        <v>668</v>
      </c>
      <c r="C245" s="14" t="s">
        <v>16</v>
      </c>
      <c r="D245" s="13" t="s">
        <v>669</v>
      </c>
      <c r="E245" s="6" t="s">
        <v>306</v>
      </c>
      <c r="F245" s="9"/>
      <c r="G245" s="9"/>
      <c r="H245" s="9"/>
      <c r="I245" s="16" t="s">
        <v>670</v>
      </c>
      <c r="J245" s="5"/>
    </row>
    <row r="246" ht="15.75" customHeight="1">
      <c r="A246" s="19">
        <v>45021.0</v>
      </c>
      <c r="B246" s="7" t="s">
        <v>668</v>
      </c>
      <c r="C246" s="8" t="s">
        <v>16</v>
      </c>
      <c r="D246" s="7" t="s">
        <v>671</v>
      </c>
      <c r="E246" s="18" t="s">
        <v>306</v>
      </c>
      <c r="F246" s="9" t="s">
        <v>90</v>
      </c>
      <c r="G246" s="9"/>
      <c r="H246" s="9" t="s">
        <v>672</v>
      </c>
      <c r="I246" s="85" t="s">
        <v>673</v>
      </c>
      <c r="J246" s="5"/>
    </row>
    <row r="247" ht="15.75" customHeight="1">
      <c r="A247" s="19">
        <v>45021.0</v>
      </c>
      <c r="B247" s="7" t="str">
        <f>HYPERLINK("https://www.spencer.org/","Spencer Foundation")</f>
        <v>Spencer Foundation</v>
      </c>
      <c r="C247" s="8" t="s">
        <v>16</v>
      </c>
      <c r="D247" s="7" t="s">
        <v>674</v>
      </c>
      <c r="E247" s="18" t="s">
        <v>675</v>
      </c>
      <c r="F247" s="18" t="s">
        <v>110</v>
      </c>
      <c r="G247" s="18"/>
      <c r="H247" s="86"/>
      <c r="I247" s="87" t="s">
        <v>673</v>
      </c>
      <c r="J247" s="5"/>
    </row>
    <row r="248" ht="15.75" customHeight="1">
      <c r="A248" s="19">
        <v>45063.0</v>
      </c>
      <c r="B248" s="7" t="str">
        <f>HYPERLINK("https://www.gerda-henkel-stiftung.de/","Gerda Henkel Stiftung")</f>
        <v>Gerda Henkel Stiftung</v>
      </c>
      <c r="C248" s="8" t="s">
        <v>16</v>
      </c>
      <c r="D248" s="49" t="s">
        <v>676</v>
      </c>
      <c r="E248" s="18" t="s">
        <v>82</v>
      </c>
      <c r="F248" s="9" t="s">
        <v>90</v>
      </c>
      <c r="G248" s="9"/>
      <c r="H248" s="9"/>
      <c r="I248" s="16" t="s">
        <v>677</v>
      </c>
      <c r="J248" s="5"/>
    </row>
    <row r="249" ht="15.75" customHeight="1">
      <c r="A249" s="30">
        <v>44354.0</v>
      </c>
      <c r="B249" s="7" t="str">
        <f>HYPERLINK("https://www.paris-iea.fr/en/","Institut D'Etudes Avancees De Paris")</f>
        <v>Institut D'Etudes Avancees De Paris</v>
      </c>
      <c r="C249" s="8" t="s">
        <v>10</v>
      </c>
      <c r="D249" s="13" t="s">
        <v>678</v>
      </c>
      <c r="E249" s="18" t="s">
        <v>462</v>
      </c>
      <c r="F249" s="9" t="s">
        <v>87</v>
      </c>
      <c r="G249" s="50" t="s">
        <v>679</v>
      </c>
      <c r="H249" s="9"/>
      <c r="I249" s="16" t="s">
        <v>680</v>
      </c>
      <c r="J249" s="5"/>
    </row>
    <row r="250" ht="15.75" customHeight="1">
      <c r="A250" s="30">
        <v>44355.0</v>
      </c>
      <c r="B250" s="17" t="s">
        <v>681</v>
      </c>
      <c r="C250" s="8" t="s">
        <v>16</v>
      </c>
      <c r="D250" s="7" t="str">
        <f>HYPERLINK("http://ritaallen.org/apply/","Rita Allen Scholars Program")</f>
        <v>Rita Allen Scholars Program</v>
      </c>
      <c r="E250" s="18" t="s">
        <v>682</v>
      </c>
      <c r="F250" s="18" t="s">
        <v>66</v>
      </c>
      <c r="G250" s="18"/>
      <c r="H250" s="9"/>
      <c r="I250" s="16" t="s">
        <v>683</v>
      </c>
      <c r="J250" s="5"/>
    </row>
    <row r="251" ht="15.75" customHeight="1">
      <c r="A251" s="12">
        <v>44356.0</v>
      </c>
      <c r="B251" s="7" t="str">
        <f>HYPERLINK("http://systemsforaction.org/","Systems for Action")</f>
        <v>Systems for Action</v>
      </c>
      <c r="C251" s="8" t="s">
        <v>16</v>
      </c>
      <c r="D251" s="22" t="s">
        <v>684</v>
      </c>
      <c r="E251" s="18" t="s">
        <v>685</v>
      </c>
      <c r="F251" s="9" t="s">
        <v>90</v>
      </c>
      <c r="G251" s="9"/>
      <c r="H251" s="23"/>
      <c r="I251" s="16" t="s">
        <v>686</v>
      </c>
      <c r="J251" s="5"/>
    </row>
    <row r="252" ht="15.75" customHeight="1">
      <c r="A252" s="19">
        <v>45089.0</v>
      </c>
      <c r="B252" s="7" t="str">
        <f t="shared" ref="B252:B253" si="13">HYPERLINK("http://www.vilcek.org/","Vilcek Foundation")</f>
        <v>Vilcek Foundation</v>
      </c>
      <c r="C252" s="8" t="s">
        <v>16</v>
      </c>
      <c r="D252" s="17" t="s">
        <v>687</v>
      </c>
      <c r="E252" s="18" t="s">
        <v>642</v>
      </c>
      <c r="F252" s="9" t="s">
        <v>138</v>
      </c>
      <c r="G252" s="9" t="s">
        <v>72</v>
      </c>
      <c r="H252" s="23">
        <v>50000.0</v>
      </c>
      <c r="I252" s="16" t="s">
        <v>688</v>
      </c>
      <c r="J252" s="5"/>
    </row>
    <row r="253" ht="15.75" customHeight="1">
      <c r="A253" s="19">
        <v>45089.0</v>
      </c>
      <c r="B253" s="7" t="str">
        <f t="shared" si="13"/>
        <v>Vilcek Foundation</v>
      </c>
      <c r="C253" s="8" t="s">
        <v>16</v>
      </c>
      <c r="D253" s="7" t="s">
        <v>689</v>
      </c>
      <c r="E253" s="18" t="s">
        <v>690</v>
      </c>
      <c r="F253" s="9" t="s">
        <v>138</v>
      </c>
      <c r="G253" s="9" t="s">
        <v>72</v>
      </c>
      <c r="H253" s="9"/>
      <c r="I253" s="27" t="s">
        <v>691</v>
      </c>
      <c r="J253" s="5"/>
    </row>
    <row r="254" ht="15.75" customHeight="1">
      <c r="A254" s="19">
        <v>45051.0</v>
      </c>
      <c r="B254" s="7" t="str">
        <f>HYPERLINK("https://www.culinaryhistoriansny.org/","Culinary History of NY")</f>
        <v>Culinary History of NY</v>
      </c>
      <c r="C254" s="8" t="s">
        <v>16</v>
      </c>
      <c r="D254" s="22" t="s">
        <v>692</v>
      </c>
      <c r="E254" s="18" t="s">
        <v>61</v>
      </c>
      <c r="F254" s="9" t="s">
        <v>90</v>
      </c>
      <c r="G254" s="9"/>
      <c r="H254" s="9" t="s">
        <v>693</v>
      </c>
      <c r="I254" s="27" t="s">
        <v>694</v>
      </c>
      <c r="J254" s="5"/>
    </row>
    <row r="255" ht="15.75" customHeight="1">
      <c r="A255" s="19">
        <v>45125.0</v>
      </c>
      <c r="B255" s="13" t="s">
        <v>40</v>
      </c>
      <c r="C255" s="14" t="s">
        <v>41</v>
      </c>
      <c r="D255" s="13" t="s">
        <v>695</v>
      </c>
      <c r="E255" s="6" t="s">
        <v>696</v>
      </c>
      <c r="F255" s="9"/>
      <c r="G255" s="9"/>
      <c r="H255" s="60" t="s">
        <v>697</v>
      </c>
      <c r="I255" s="53" t="s">
        <v>698</v>
      </c>
      <c r="J255" s="5"/>
    </row>
    <row r="256" ht="15.75" customHeight="1">
      <c r="A256" s="19">
        <v>45092.0</v>
      </c>
      <c r="B256" s="7" t="str">
        <f>HYPERLINK("https://www.acs.org/","American Chemistry Society")</f>
        <v>American Chemistry Society</v>
      </c>
      <c r="C256" s="8" t="s">
        <v>16</v>
      </c>
      <c r="D256" s="22" t="s">
        <v>699</v>
      </c>
      <c r="E256" s="18" t="s">
        <v>399</v>
      </c>
      <c r="F256" s="9" t="s">
        <v>138</v>
      </c>
      <c r="G256" s="9"/>
      <c r="H256" s="9"/>
      <c r="I256" s="88"/>
      <c r="J256" s="5"/>
    </row>
    <row r="257" ht="15.75" customHeight="1">
      <c r="A257" s="19">
        <v>45214.0</v>
      </c>
      <c r="B257" s="7" t="str">
        <f>HYPERLINK("http://artomi.org/","Art Omi")</f>
        <v>Art Omi</v>
      </c>
      <c r="C257" s="8" t="s">
        <v>16</v>
      </c>
      <c r="D257" s="7" t="str">
        <f>HYPERLINK("http://artomi.org/residencies/architecture","Art Omi: Architecture Residency")</f>
        <v>Art Omi: Architecture Residency</v>
      </c>
      <c r="E257" s="18" t="s">
        <v>700</v>
      </c>
      <c r="F257" s="15" t="s">
        <v>34</v>
      </c>
      <c r="G257" s="15" t="s">
        <v>701</v>
      </c>
      <c r="H257" s="9" t="s">
        <v>702</v>
      </c>
      <c r="I257" s="16" t="s">
        <v>703</v>
      </c>
      <c r="J257" s="5"/>
    </row>
    <row r="258" ht="15.75" customHeight="1">
      <c r="A258" s="19">
        <v>45042.0</v>
      </c>
      <c r="B258" s="7" t="str">
        <f t="shared" ref="B258:B259" si="14">HYPERLINK("https://nij.gov/Pages/welcome.aspx","National Institute of Justice")</f>
        <v>National Institute of Justice</v>
      </c>
      <c r="C258" s="8" t="s">
        <v>41</v>
      </c>
      <c r="D258" s="22" t="s">
        <v>704</v>
      </c>
      <c r="E258" s="18" t="s">
        <v>705</v>
      </c>
      <c r="F258" s="18" t="s">
        <v>66</v>
      </c>
      <c r="G258" s="18"/>
      <c r="H258" s="9"/>
      <c r="I258" s="16" t="s">
        <v>706</v>
      </c>
      <c r="J258" s="5"/>
    </row>
    <row r="259" ht="15.75" customHeight="1">
      <c r="A259" s="19">
        <v>44368.0</v>
      </c>
      <c r="B259" s="7" t="str">
        <f t="shared" si="14"/>
        <v>National Institute of Justice</v>
      </c>
      <c r="C259" s="8" t="s">
        <v>41</v>
      </c>
      <c r="D259" s="13" t="s">
        <v>707</v>
      </c>
      <c r="E259" s="18" t="s">
        <v>708</v>
      </c>
      <c r="F259" s="50" t="s">
        <v>110</v>
      </c>
      <c r="G259" s="9"/>
      <c r="H259" s="9"/>
      <c r="I259" s="16" t="s">
        <v>709</v>
      </c>
      <c r="J259" s="5"/>
    </row>
    <row r="260" ht="15.75" customHeight="1">
      <c r="A260" s="19">
        <v>45104.0</v>
      </c>
      <c r="B260" s="7" t="str">
        <f>HYPERLINK("http://www.russellsage.org/","Russell Sage Foundation")</f>
        <v>Russell Sage Foundation</v>
      </c>
      <c r="C260" s="8" t="s">
        <v>16</v>
      </c>
      <c r="D260" s="7" t="s">
        <v>238</v>
      </c>
      <c r="E260" s="18" t="s">
        <v>43</v>
      </c>
      <c r="F260" s="9" t="s">
        <v>301</v>
      </c>
      <c r="G260" s="9" t="s">
        <v>710</v>
      </c>
      <c r="H260" s="9" t="s">
        <v>711</v>
      </c>
      <c r="I260" s="27" t="s">
        <v>712</v>
      </c>
      <c r="J260" s="5"/>
    </row>
    <row r="261" ht="15.75" customHeight="1">
      <c r="A261" s="19">
        <v>45182.0</v>
      </c>
      <c r="B261" s="7" t="str">
        <f t="shared" ref="B261:B264" si="15">HYPERLINK("https://www.neh.gov/","National Endowment for the Humanitites")</f>
        <v>National Endowment for the Humanitites</v>
      </c>
      <c r="C261" s="14" t="s">
        <v>41</v>
      </c>
      <c r="D261" s="13" t="s">
        <v>713</v>
      </c>
      <c r="E261" s="6" t="s">
        <v>128</v>
      </c>
      <c r="F261" s="18"/>
      <c r="G261" s="10"/>
      <c r="H261" s="9"/>
      <c r="I261" s="16" t="s">
        <v>714</v>
      </c>
      <c r="J261" s="5"/>
    </row>
    <row r="262" ht="15.75" customHeight="1">
      <c r="A262" s="19">
        <v>45091.0</v>
      </c>
      <c r="B262" s="7" t="str">
        <f t="shared" si="15"/>
        <v>National Endowment for the Humanitites</v>
      </c>
      <c r="C262" s="14" t="s">
        <v>41</v>
      </c>
      <c r="D262" s="13" t="s">
        <v>715</v>
      </c>
      <c r="E262" s="6" t="s">
        <v>45</v>
      </c>
      <c r="F262" s="18"/>
      <c r="G262" s="10"/>
      <c r="H262" s="9"/>
      <c r="I262" s="16" t="s">
        <v>716</v>
      </c>
      <c r="J262" s="5"/>
    </row>
    <row r="263" ht="15.75" customHeight="1">
      <c r="A263" s="19">
        <v>44972.0</v>
      </c>
      <c r="B263" s="7" t="str">
        <f t="shared" si="15"/>
        <v>National Endowment for the Humanitites</v>
      </c>
      <c r="C263" s="14" t="s">
        <v>41</v>
      </c>
      <c r="D263" s="13" t="s">
        <v>717</v>
      </c>
      <c r="E263" s="18"/>
      <c r="F263" s="18"/>
      <c r="G263" s="10"/>
      <c r="H263" s="9"/>
      <c r="I263" s="16" t="s">
        <v>718</v>
      </c>
      <c r="J263" s="5"/>
    </row>
    <row r="264" ht="15.75" customHeight="1">
      <c r="A264" s="19">
        <v>45092.0</v>
      </c>
      <c r="B264" s="7" t="str">
        <f t="shared" si="15"/>
        <v>National Endowment for the Humanitites</v>
      </c>
      <c r="C264" s="8" t="s">
        <v>41</v>
      </c>
      <c r="D264" s="7" t="str">
        <f>HYPERLINK("https://www.neh.gov/grants/odh/digital-humanities-advancement-grants","Digital Humanities Advancement Grant")</f>
        <v>Digital Humanities Advancement Grant</v>
      </c>
      <c r="E264" s="18" t="s">
        <v>82</v>
      </c>
      <c r="F264" s="18" t="s">
        <v>384</v>
      </c>
      <c r="G264" s="10"/>
      <c r="H264" s="9"/>
      <c r="I264" s="27" t="s">
        <v>719</v>
      </c>
      <c r="J264" s="5"/>
    </row>
    <row r="265" ht="15.75" customHeight="1">
      <c r="A265" s="19">
        <v>45084.0</v>
      </c>
      <c r="B265" s="7" t="str">
        <f>HYPERLINK("https://www.ned.org/","National Endowment for Democracy")</f>
        <v>National Endowment for Democracy</v>
      </c>
      <c r="C265" s="8" t="s">
        <v>16</v>
      </c>
      <c r="D265" s="7" t="str">
        <f>HYPERLINK("https://www.ned.org/apply-for-grant/en/","Grants")</f>
        <v>Grants</v>
      </c>
      <c r="E265" s="18" t="s">
        <v>394</v>
      </c>
      <c r="F265" s="15" t="s">
        <v>437</v>
      </c>
      <c r="G265" s="89"/>
      <c r="H265" s="9" t="s">
        <v>458</v>
      </c>
      <c r="I265" s="27" t="s">
        <v>720</v>
      </c>
      <c r="J265" s="5"/>
    </row>
    <row r="266" ht="15.75" customHeight="1">
      <c r="A266" s="72">
        <v>44375.0</v>
      </c>
      <c r="B266" s="7" t="s">
        <v>721</v>
      </c>
      <c r="C266" s="8" t="s">
        <v>16</v>
      </c>
      <c r="D266" s="22" t="s">
        <v>721</v>
      </c>
      <c r="E266" s="18" t="s">
        <v>82</v>
      </c>
      <c r="F266" s="9" t="s">
        <v>143</v>
      </c>
      <c r="G266" s="9"/>
      <c r="H266" s="9" t="s">
        <v>722</v>
      </c>
      <c r="I266" s="16" t="s">
        <v>723</v>
      </c>
      <c r="J266" s="5"/>
    </row>
    <row r="267" ht="15.75" customHeight="1">
      <c r="A267" s="19">
        <v>44375.0</v>
      </c>
      <c r="B267" s="7" t="str">
        <f>HYPERLINK("https://www.ensembletheaters.net/","Network of Ensemble Theaters")</f>
        <v>Network of Ensemble Theaters</v>
      </c>
      <c r="C267" s="48" t="s">
        <v>16</v>
      </c>
      <c r="D267" s="22" t="s">
        <v>724</v>
      </c>
      <c r="E267" s="18" t="s">
        <v>725</v>
      </c>
      <c r="F267" s="9" t="s">
        <v>143</v>
      </c>
      <c r="G267" s="9"/>
      <c r="H267" s="9"/>
      <c r="I267" s="16" t="s">
        <v>726</v>
      </c>
      <c r="J267" s="5"/>
    </row>
    <row r="268" ht="15.75" customHeight="1">
      <c r="A268" s="30">
        <v>44377.0</v>
      </c>
      <c r="B268" s="7" t="str">
        <f>HYPERLINK("https://www.sas.ac.uk/","Univeristy of London, School of Advanced Study")</f>
        <v>Univeristy of London, School of Advanced Study</v>
      </c>
      <c r="C268" s="8" t="s">
        <v>10</v>
      </c>
      <c r="D268" s="7" t="str">
        <f>HYPERLINK("https://commonwealth.sas.ac.uk/fellowships","Institute of Commonwealth Studies Fellowships")</f>
        <v>Institute of Commonwealth Studies Fellowships</v>
      </c>
      <c r="E268" s="18" t="s">
        <v>727</v>
      </c>
      <c r="F268" s="9" t="s">
        <v>87</v>
      </c>
      <c r="G268" s="9"/>
      <c r="H268" s="23" t="s">
        <v>453</v>
      </c>
      <c r="I268" s="41" t="s">
        <v>728</v>
      </c>
      <c r="J268" s="5"/>
    </row>
    <row r="269" ht="15.75" hidden="1" customHeight="1">
      <c r="A269" s="19">
        <v>44273.0</v>
      </c>
      <c r="B269" s="7" t="str">
        <f>HYPERLINK("http://www.hfsp.org/","Human Frontier Science Program")</f>
        <v>Human Frontier Science Program</v>
      </c>
      <c r="C269" s="8" t="s">
        <v>16</v>
      </c>
      <c r="D269" s="24" t="s">
        <v>729</v>
      </c>
      <c r="E269" s="18" t="s">
        <v>77</v>
      </c>
      <c r="F269" s="18" t="s">
        <v>90</v>
      </c>
      <c r="G269" s="18"/>
      <c r="H269" s="9"/>
      <c r="I269" s="16" t="s">
        <v>730</v>
      </c>
      <c r="J269" s="5"/>
    </row>
    <row r="270" ht="15.75" customHeight="1">
      <c r="A270" s="19">
        <v>45107.0</v>
      </c>
      <c r="B270" s="7" t="str">
        <f>HYPERLINK("https://www.aaas.org/","American Association for the Advancement of Science")</f>
        <v>American Association for the Advancement of Science</v>
      </c>
      <c r="C270" s="8" t="s">
        <v>243</v>
      </c>
      <c r="D270" s="7" t="s">
        <v>731</v>
      </c>
      <c r="E270" s="18" t="s">
        <v>77</v>
      </c>
      <c r="F270" s="9" t="s">
        <v>138</v>
      </c>
      <c r="G270" s="9"/>
      <c r="H270" s="23">
        <v>5000.0</v>
      </c>
      <c r="I270" s="16" t="s">
        <v>732</v>
      </c>
      <c r="J270" s="5"/>
    </row>
    <row r="271" ht="15.75" customHeight="1">
      <c r="A271" s="19">
        <v>45107.0</v>
      </c>
      <c r="B271" s="7" t="str">
        <f>HYPERLINK("https://aas.org/","American Astronomical Society")</f>
        <v>American Astronomical Society</v>
      </c>
      <c r="C271" s="8" t="s">
        <v>243</v>
      </c>
      <c r="D271" s="7" t="str">
        <f>HYPERLINK("https://aas.org/grants-and-prizes/annie-jump-cannon-award-astronomy","Annie Jump Cannon Award in Astronomy")</f>
        <v>Annie Jump Cannon Award in Astronomy</v>
      </c>
      <c r="E271" s="18" t="s">
        <v>106</v>
      </c>
      <c r="F271" s="9" t="s">
        <v>138</v>
      </c>
      <c r="G271" s="9"/>
      <c r="H271" s="23">
        <v>1500.0</v>
      </c>
      <c r="I271" s="27" t="s">
        <v>733</v>
      </c>
      <c r="J271" s="5"/>
    </row>
    <row r="272" ht="15.75" customHeight="1">
      <c r="A272" s="19">
        <v>44377.0</v>
      </c>
      <c r="B272" s="7" t="str">
        <f>HYPERLINK("https://www.acs.org/","American Chemistry Society")</f>
        <v>American Chemistry Society</v>
      </c>
      <c r="C272" s="8" t="s">
        <v>16</v>
      </c>
      <c r="D272" s="7" t="s">
        <v>734</v>
      </c>
      <c r="E272" s="18" t="s">
        <v>399</v>
      </c>
      <c r="F272" s="9" t="s">
        <v>735</v>
      </c>
      <c r="G272" s="9"/>
      <c r="H272" s="9" t="s">
        <v>736</v>
      </c>
      <c r="I272" s="27" t="s">
        <v>737</v>
      </c>
      <c r="J272" s="5"/>
    </row>
    <row r="273" ht="15.75" customHeight="1">
      <c r="A273" s="19">
        <v>45108.0</v>
      </c>
      <c r="B273" s="7" t="str">
        <f>HYPERLINK("http://rescorp.org/","Research Corporation")</f>
        <v>Research Corporation</v>
      </c>
      <c r="C273" s="8" t="s">
        <v>16</v>
      </c>
      <c r="D273" s="7" t="str">
        <f>HYPERLINK("http://rescorp.org/cottrell-scholars/cottrell-scholar-award/guidelines","Cotrell Scholars Award")</f>
        <v>Cotrell Scholars Award</v>
      </c>
      <c r="E273" s="18" t="s">
        <v>738</v>
      </c>
      <c r="F273" s="9" t="s">
        <v>138</v>
      </c>
      <c r="G273" s="9" t="s">
        <v>363</v>
      </c>
      <c r="H273" s="23" t="s">
        <v>739</v>
      </c>
      <c r="I273" s="27" t="s">
        <v>740</v>
      </c>
      <c r="J273" s="5"/>
    </row>
    <row r="274" ht="15.75" customHeight="1">
      <c r="A274" s="19">
        <v>45112.0</v>
      </c>
      <c r="B274" s="7" t="str">
        <f>HYPERLINK("http://wtgrantfoundation.org","William T Grant Foundation")</f>
        <v>William T Grant Foundation</v>
      </c>
      <c r="C274" s="8" t="s">
        <v>16</v>
      </c>
      <c r="D274" s="7" t="s">
        <v>741</v>
      </c>
      <c r="E274" s="18" t="s">
        <v>742</v>
      </c>
      <c r="F274" s="9" t="s">
        <v>90</v>
      </c>
      <c r="G274" s="18" t="s">
        <v>72</v>
      </c>
      <c r="H274" s="9" t="s">
        <v>743</v>
      </c>
      <c r="I274" s="90" t="s">
        <v>744</v>
      </c>
      <c r="J274" s="5"/>
    </row>
    <row r="275" ht="15.75" customHeight="1">
      <c r="A275" s="19">
        <v>44775.0</v>
      </c>
      <c r="B275" s="17" t="s">
        <v>491</v>
      </c>
      <c r="C275" s="8" t="s">
        <v>16</v>
      </c>
      <c r="D275" s="17" t="s">
        <v>745</v>
      </c>
      <c r="E275" s="18" t="s">
        <v>17</v>
      </c>
      <c r="F275" s="18" t="s">
        <v>143</v>
      </c>
      <c r="G275" s="10"/>
      <c r="H275" s="9"/>
      <c r="I275" s="27" t="s">
        <v>746</v>
      </c>
      <c r="J275" s="5"/>
    </row>
    <row r="276" ht="15.75" customHeight="1">
      <c r="A276" s="19">
        <v>44602.0</v>
      </c>
      <c r="B276" s="7" t="str">
        <f>HYPERLINK("https://www.arts.gov/","National Endowment for the Arts")</f>
        <v>National Endowment for the Arts</v>
      </c>
      <c r="C276" s="8" t="s">
        <v>41</v>
      </c>
      <c r="D276" s="17" t="s">
        <v>747</v>
      </c>
      <c r="E276" s="18" t="s">
        <v>17</v>
      </c>
      <c r="F276" s="18" t="s">
        <v>143</v>
      </c>
      <c r="G276" s="10"/>
      <c r="H276" s="9"/>
      <c r="I276" s="16" t="s">
        <v>748</v>
      </c>
      <c r="J276" s="5"/>
    </row>
    <row r="277" ht="15.75" customHeight="1">
      <c r="A277" s="19">
        <v>45140.0</v>
      </c>
      <c r="B277" s="7" t="str">
        <f>HYPERLINK("nsf.gov","National Science Foundation")</f>
        <v>National Science Foundation</v>
      </c>
      <c r="C277" s="8" t="s">
        <v>41</v>
      </c>
      <c r="D277" s="13" t="s">
        <v>749</v>
      </c>
      <c r="E277" s="18" t="s">
        <v>45</v>
      </c>
      <c r="F277" s="26"/>
      <c r="G277" s="26"/>
      <c r="H277" s="9"/>
      <c r="I277" s="16" t="s">
        <v>750</v>
      </c>
      <c r="J277" s="5"/>
    </row>
    <row r="278" ht="15.75" customHeight="1">
      <c r="A278" s="19">
        <v>44392.0</v>
      </c>
      <c r="B278" s="7" t="str">
        <f>HYPERLINK("https://www.loc.gov","LIbrary of Congress")</f>
        <v>LIbrary of Congress</v>
      </c>
      <c r="C278" s="8" t="s">
        <v>41</v>
      </c>
      <c r="D278" s="7" t="str">
        <f>HYPERLINK("https://www.loc.gov/programs/john-w-kluge-center/chairs-fellowships/fellowships/kluge-fellowships/E159","Kluge Center Fellowship")</f>
        <v>Kluge Center Fellowship</v>
      </c>
      <c r="E278" s="18" t="s">
        <v>45</v>
      </c>
      <c r="F278" s="18" t="s">
        <v>34</v>
      </c>
      <c r="G278" s="9" t="s">
        <v>751</v>
      </c>
      <c r="H278" s="23" t="s">
        <v>752</v>
      </c>
      <c r="I278" s="16" t="s">
        <v>753</v>
      </c>
      <c r="J278" s="5"/>
    </row>
    <row r="279" ht="15.75" customHeight="1">
      <c r="A279" s="19">
        <v>45124.0</v>
      </c>
      <c r="B279" s="7" t="str">
        <f>HYPERLINK("http://NSf.gov","National Science Foundation")</f>
        <v>National Science Foundation</v>
      </c>
      <c r="C279" s="8" t="s">
        <v>41</v>
      </c>
      <c r="D279" s="7" t="s">
        <v>754</v>
      </c>
      <c r="E279" s="18" t="s">
        <v>194</v>
      </c>
      <c r="F279" s="9" t="s">
        <v>90</v>
      </c>
      <c r="G279" s="9"/>
      <c r="H279" s="9"/>
      <c r="I279" s="16" t="s">
        <v>755</v>
      </c>
      <c r="J279" s="5"/>
    </row>
    <row r="280" ht="15.75" customHeight="1">
      <c r="A280" s="19">
        <v>45138.0</v>
      </c>
      <c r="B280" s="7" t="str">
        <f>HYPERLINK("https://www.nsf.gov/","National Science Foundation")</f>
        <v>National Science Foundation</v>
      </c>
      <c r="C280" s="8" t="s">
        <v>41</v>
      </c>
      <c r="D280" s="7" t="str">
        <f>HYPERLINK("https://www.nsf.gov/funding/pgm_summ.jsp?pims_id=8671","Developmental Science")</f>
        <v>Developmental Science</v>
      </c>
      <c r="E280" s="18" t="s">
        <v>194</v>
      </c>
      <c r="F280" s="9" t="s">
        <v>90</v>
      </c>
      <c r="G280" s="9"/>
      <c r="H280" s="9" t="s">
        <v>453</v>
      </c>
      <c r="I280" s="16" t="s">
        <v>756</v>
      </c>
      <c r="J280" s="5"/>
    </row>
    <row r="281" ht="15.75" customHeight="1">
      <c r="A281" s="19">
        <v>45124.0</v>
      </c>
      <c r="B281" s="7" t="str">
        <f>HYPERLINK("NSf.gov","National Science Foundation")</f>
        <v>National Science Foundation</v>
      </c>
      <c r="C281" s="8" t="s">
        <v>41</v>
      </c>
      <c r="D281" s="7" t="s">
        <v>757</v>
      </c>
      <c r="E281" s="18" t="s">
        <v>394</v>
      </c>
      <c r="F281" s="18" t="s">
        <v>90</v>
      </c>
      <c r="G281" s="10"/>
      <c r="H281" s="9"/>
      <c r="I281" s="16" t="s">
        <v>758</v>
      </c>
      <c r="J281" s="5"/>
    </row>
    <row r="282" ht="15.75" customHeight="1">
      <c r="A282" s="19">
        <v>44758.0</v>
      </c>
      <c r="B282" s="7" t="str">
        <f>HYPERLINK("https://www.stonewallfoundation.org/","Stonewall Community Foundation")</f>
        <v>Stonewall Community Foundation</v>
      </c>
      <c r="C282" s="8" t="s">
        <v>16</v>
      </c>
      <c r="D282" s="7" t="s">
        <v>759</v>
      </c>
      <c r="E282" s="18" t="s">
        <v>45</v>
      </c>
      <c r="F282" s="9"/>
      <c r="G282" s="9"/>
      <c r="H282" s="9"/>
      <c r="I282" s="27" t="s">
        <v>760</v>
      </c>
      <c r="J282" s="5"/>
    </row>
    <row r="283" ht="15.75" customHeight="1">
      <c r="A283" s="19">
        <v>45138.0</v>
      </c>
      <c r="B283" s="7" t="str">
        <f>HYPERLINK("https://www.nsf.gov/","National Science Foundation")</f>
        <v>National Science Foundation</v>
      </c>
      <c r="C283" s="8" t="s">
        <v>41</v>
      </c>
      <c r="D283" s="22" t="s">
        <v>761</v>
      </c>
      <c r="E283" s="18" t="s">
        <v>188</v>
      </c>
      <c r="F283" s="9" t="s">
        <v>90</v>
      </c>
      <c r="G283" s="9"/>
      <c r="H283" s="9"/>
      <c r="I283" s="16" t="s">
        <v>762</v>
      </c>
      <c r="J283" s="5"/>
    </row>
    <row r="284" ht="15.75" customHeight="1">
      <c r="A284" s="19">
        <v>45133.0</v>
      </c>
      <c r="B284" s="7" t="s">
        <v>124</v>
      </c>
      <c r="C284" s="8" t="s">
        <v>41</v>
      </c>
      <c r="D284" s="17" t="s">
        <v>763</v>
      </c>
      <c r="E284" s="18" t="s">
        <v>77</v>
      </c>
      <c r="F284" s="18" t="s">
        <v>83</v>
      </c>
      <c r="G284" s="9" t="s">
        <v>363</v>
      </c>
      <c r="H284" s="91"/>
      <c r="I284" s="92" t="s">
        <v>764</v>
      </c>
      <c r="J284" s="5"/>
    </row>
    <row r="285" ht="15.75" customHeight="1">
      <c r="A285" s="19">
        <v>45049.0</v>
      </c>
      <c r="B285" s="7" t="str">
        <f t="shared" ref="B285:B286" si="16">HYPERLINK("http://www.russellsage.org/","Russell Sage Foundation")</f>
        <v>Russell Sage Foundation</v>
      </c>
      <c r="C285" s="8" t="s">
        <v>16</v>
      </c>
      <c r="D285" s="7" t="str">
        <f>HYPERLINK("http://www.russellsage.org/funding/immigration-and-immigrant-integration","Initiative on Immigration and Immigrant Integration")</f>
        <v>Initiative on Immigration and Immigrant Integration</v>
      </c>
      <c r="E285" s="18" t="s">
        <v>394</v>
      </c>
      <c r="F285" s="9" t="s">
        <v>477</v>
      </c>
      <c r="G285" s="9"/>
      <c r="H285" s="9" t="s">
        <v>765</v>
      </c>
      <c r="I285" s="16" t="s">
        <v>766</v>
      </c>
      <c r="J285" s="5"/>
    </row>
    <row r="286" ht="15.75" customHeight="1">
      <c r="A286" s="19">
        <v>44770.0</v>
      </c>
      <c r="B286" s="7" t="str">
        <f t="shared" si="16"/>
        <v>Russell Sage Foundation</v>
      </c>
      <c r="C286" s="8" t="s">
        <v>16</v>
      </c>
      <c r="D286" s="13" t="s">
        <v>767</v>
      </c>
      <c r="E286" s="18" t="s">
        <v>394</v>
      </c>
      <c r="F286" s="18" t="s">
        <v>90</v>
      </c>
      <c r="G286" s="9"/>
      <c r="H286" s="9" t="s">
        <v>586</v>
      </c>
      <c r="I286" s="16" t="s">
        <v>768</v>
      </c>
      <c r="J286" s="5"/>
    </row>
    <row r="287" ht="15.75" customHeight="1">
      <c r="A287" s="19">
        <v>45229.0</v>
      </c>
      <c r="B287" s="7" t="str">
        <f>HYPERLINK("https://www.gilderlehrman.org/","Gilder Lehrman Institute of American History")</f>
        <v>Gilder Lehrman Institute of American History</v>
      </c>
      <c r="C287" s="8" t="s">
        <v>16</v>
      </c>
      <c r="D287" s="7" t="str">
        <f>HYPERLINK("https://www.gilderlehrman.org/content/scholarly-fellowships","Gilder Lehrman fellowships")</f>
        <v>Gilder Lehrman fellowships</v>
      </c>
      <c r="E287" s="18" t="s">
        <v>61</v>
      </c>
      <c r="F287" s="9" t="s">
        <v>769</v>
      </c>
      <c r="G287" s="9"/>
      <c r="H287" s="23">
        <v>3000.0</v>
      </c>
      <c r="I287" s="27" t="s">
        <v>770</v>
      </c>
      <c r="J287" s="5"/>
    </row>
    <row r="288" ht="15.75" customHeight="1">
      <c r="A288" s="19">
        <v>44407.0</v>
      </c>
      <c r="B288" s="7" t="str">
        <f>HYPERLINK("nea.gov","National Endowment for the Arts")</f>
        <v>National Endowment for the Arts</v>
      </c>
      <c r="C288" s="8" t="s">
        <v>41</v>
      </c>
      <c r="D288" s="13" t="s">
        <v>771</v>
      </c>
      <c r="E288" s="18" t="s">
        <v>17</v>
      </c>
      <c r="F288" s="9" t="s">
        <v>66</v>
      </c>
      <c r="G288" s="9" t="s">
        <v>772</v>
      </c>
      <c r="H288" s="23">
        <v>25000.0</v>
      </c>
      <c r="I288" s="27" t="s">
        <v>773</v>
      </c>
      <c r="J288" s="5"/>
    </row>
    <row r="289" ht="15.75" customHeight="1">
      <c r="A289" s="19">
        <v>44408.0</v>
      </c>
      <c r="B289" s="7" t="str">
        <f>HYPERLINK("http://www.anu.edu.au/","Australian National University Research School of Humanities and the Arts")</f>
        <v>Australian National University Research School of Humanities and the Arts</v>
      </c>
      <c r="C289" s="8" t="s">
        <v>10</v>
      </c>
      <c r="D289" s="17" t="s">
        <v>774</v>
      </c>
      <c r="E289" s="18" t="s">
        <v>128</v>
      </c>
      <c r="F289" s="18" t="s">
        <v>34</v>
      </c>
      <c r="G289" s="9"/>
      <c r="H289" s="9" t="s">
        <v>775</v>
      </c>
      <c r="I289" s="16" t="s">
        <v>776</v>
      </c>
      <c r="J289" s="5"/>
    </row>
    <row r="290" ht="15.75" customHeight="1">
      <c r="A290" s="19">
        <v>44408.0</v>
      </c>
      <c r="B290" s="7" t="str">
        <f>HYPERLINK("https://careyinstitute.org/","Carey Institute")</f>
        <v>Carey Institute</v>
      </c>
      <c r="C290" s="8" t="s">
        <v>16</v>
      </c>
      <c r="D290" s="7" t="str">
        <f>HYPERLINK("https://logannonfiction.org","Logan Nonfiction Program")</f>
        <v>Logan Nonfiction Program</v>
      </c>
      <c r="E290" s="18" t="s">
        <v>45</v>
      </c>
      <c r="F290" s="9" t="s">
        <v>34</v>
      </c>
      <c r="G290" s="9"/>
      <c r="H290" s="9"/>
      <c r="I290" s="16" t="s">
        <v>777</v>
      </c>
      <c r="J290" s="5"/>
    </row>
    <row r="291" ht="15.75" customHeight="1">
      <c r="A291" s="19">
        <v>44409.0</v>
      </c>
      <c r="B291" s="7" t="str">
        <f>HYPERLINK("https://afsp.org/","American Foundation for Suicide Prevention")</f>
        <v>American Foundation for Suicide Prevention</v>
      </c>
      <c r="C291" s="18" t="s">
        <v>16</v>
      </c>
      <c r="D291" s="7" t="str">
        <f>HYPERLINK("https://afsp.org/research-focus-grants","Focus Grants")</f>
        <v>Focus Grants</v>
      </c>
      <c r="E291" s="18" t="s">
        <v>345</v>
      </c>
      <c r="F291" s="18" t="s">
        <v>90</v>
      </c>
      <c r="G291" s="15"/>
      <c r="H291" s="23" t="s">
        <v>778</v>
      </c>
      <c r="I291" s="16" t="s">
        <v>779</v>
      </c>
      <c r="J291" s="5"/>
    </row>
    <row r="292" ht="15.75" customHeight="1">
      <c r="A292" s="19">
        <v>45139.0</v>
      </c>
      <c r="B292" s="7" t="str">
        <f>HYPERLINK("http://www.bradyeducationfoundation.org/home.html","Brady Education Fund")</f>
        <v>Brady Education Fund</v>
      </c>
      <c r="C292" s="8" t="s">
        <v>16</v>
      </c>
      <c r="D292" s="7" t="s">
        <v>759</v>
      </c>
      <c r="E292" s="18" t="s">
        <v>306</v>
      </c>
      <c r="F292" s="9" t="s">
        <v>780</v>
      </c>
      <c r="G292" s="9"/>
      <c r="H292" s="9"/>
      <c r="I292" s="27" t="s">
        <v>781</v>
      </c>
      <c r="J292" s="5"/>
    </row>
    <row r="293" ht="15.75" customHeight="1">
      <c r="A293" s="19">
        <v>45139.0</v>
      </c>
      <c r="B293" s="17" t="s">
        <v>782</v>
      </c>
      <c r="C293" s="48" t="s">
        <v>16</v>
      </c>
      <c r="D293" s="7" t="s">
        <v>217</v>
      </c>
      <c r="E293" s="18" t="s">
        <v>394</v>
      </c>
      <c r="F293" s="9" t="s">
        <v>90</v>
      </c>
      <c r="G293" s="9"/>
      <c r="H293" s="9" t="s">
        <v>783</v>
      </c>
      <c r="I293" s="27" t="s">
        <v>784</v>
      </c>
      <c r="J293" s="5"/>
    </row>
    <row r="294" ht="15.75" customHeight="1">
      <c r="A294" s="19">
        <v>45141.0</v>
      </c>
      <c r="B294" s="13" t="s">
        <v>785</v>
      </c>
      <c r="C294" s="14" t="s">
        <v>10</v>
      </c>
      <c r="D294" s="13" t="s">
        <v>786</v>
      </c>
      <c r="E294" s="6" t="s">
        <v>43</v>
      </c>
      <c r="F294" s="51" t="s">
        <v>90</v>
      </c>
      <c r="G294" s="15"/>
      <c r="H294" s="50" t="s">
        <v>787</v>
      </c>
      <c r="I294" s="16" t="s">
        <v>788</v>
      </c>
      <c r="J294" s="5"/>
    </row>
    <row r="295" ht="15.75" customHeight="1">
      <c r="A295" s="19">
        <v>45092.0</v>
      </c>
      <c r="B295" s="7" t="str">
        <f>HYPERLINK("https://www.nsf.gov/","National Science Foundation")</f>
        <v>National Science Foundation</v>
      </c>
      <c r="C295" s="8" t="s">
        <v>41</v>
      </c>
      <c r="D295" s="7" t="s">
        <v>789</v>
      </c>
      <c r="E295" s="18" t="s">
        <v>77</v>
      </c>
      <c r="F295" s="15" t="s">
        <v>90</v>
      </c>
      <c r="G295" s="15"/>
      <c r="H295" s="9"/>
      <c r="I295" s="16" t="s">
        <v>790</v>
      </c>
      <c r="J295" s="5"/>
    </row>
    <row r="296" ht="15.75" customHeight="1">
      <c r="A296" s="21">
        <v>45139.0</v>
      </c>
      <c r="B296" s="7" t="str">
        <f>HYPERLINK("https://www.nsf.gov","National Science Foundation")</f>
        <v>National Science Foundation</v>
      </c>
      <c r="C296" s="8" t="s">
        <v>41</v>
      </c>
      <c r="D296" s="7" t="str">
        <f>HYPERLINK("https://www.nsf.gov/funding/pgm_summ.jsp?pims_id=13403&amp;WT.mc_id=USNSF_39&amp;WT.mc_ev=click","Opportunities for Promoting Understanding through Synthesis (OPUS)")</f>
        <v>Opportunities for Promoting Understanding through Synthesis (OPUS)</v>
      </c>
      <c r="E296" s="18" t="s">
        <v>791</v>
      </c>
      <c r="F296" s="9"/>
      <c r="G296" s="9"/>
      <c r="H296" s="9"/>
      <c r="I296" s="27" t="s">
        <v>792</v>
      </c>
      <c r="J296" s="5"/>
    </row>
    <row r="297" ht="15.75" customHeight="1">
      <c r="A297" s="21">
        <v>45142.0</v>
      </c>
      <c r="B297" s="7" t="s">
        <v>124</v>
      </c>
      <c r="C297" s="8" t="s">
        <v>41</v>
      </c>
      <c r="D297" s="7" t="str">
        <f>HYPERLINK("https://www.nsf.gov/funding/pgm_summ.jsp?pims_id=5383&amp;org=OISE&amp;sel_org=OISE&amp;from=fund","ADVANCE: Increasing the Participation and Advancement of Women in Academic Science and Engineering Careers ")</f>
        <v>ADVANCE: Increasing the Participation and Advancement of Women in Academic Science and Engineering Careers </v>
      </c>
      <c r="E297" s="18" t="s">
        <v>77</v>
      </c>
      <c r="F297" s="9"/>
      <c r="G297" s="9"/>
      <c r="H297" s="9"/>
      <c r="I297" s="27" t="s">
        <v>793</v>
      </c>
      <c r="J297" s="5"/>
    </row>
    <row r="298" ht="15.75" customHeight="1">
      <c r="A298" s="19">
        <v>44411.0</v>
      </c>
      <c r="B298" s="7" t="str">
        <f>HYPERLINK("https://www.nesare.org/","Northeast SARE")</f>
        <v>Northeast SARE</v>
      </c>
      <c r="C298" s="93" t="s">
        <v>16</v>
      </c>
      <c r="D298" s="7" t="str">
        <f>HYPERLINK("https://www.nesare.org/Grants/Get-a-Grant/Which-grant-is-right-for-me/For-researchers","Grants for Researchers")</f>
        <v>Grants for Researchers</v>
      </c>
      <c r="E298" s="18" t="s">
        <v>794</v>
      </c>
      <c r="F298" s="9" t="s">
        <v>90</v>
      </c>
      <c r="G298" s="9"/>
      <c r="H298" s="9"/>
      <c r="I298" s="27" t="s">
        <v>795</v>
      </c>
      <c r="J298" s="5"/>
    </row>
    <row r="299" ht="15.75" customHeight="1">
      <c r="A299" s="19">
        <v>45141.0</v>
      </c>
      <c r="B299" s="7" t="s">
        <v>785</v>
      </c>
      <c r="C299" s="8" t="s">
        <v>16</v>
      </c>
      <c r="D299" s="7" t="str">
        <f>HYPERLINK("https://www.aarweb.org/AARMBR/Who-We-Are-/Grant-Programs-/Research-Grants-/Collaborative-Research-Grants.aspx","Collaborative Research Grants")</f>
        <v>Collaborative Research Grants</v>
      </c>
      <c r="E299" s="18" t="s">
        <v>796</v>
      </c>
      <c r="F299" s="9" t="s">
        <v>797</v>
      </c>
      <c r="G299" s="9"/>
      <c r="H299" s="18" t="s">
        <v>798</v>
      </c>
      <c r="I299" s="27" t="s">
        <v>799</v>
      </c>
      <c r="J299" s="5"/>
    </row>
    <row r="300" ht="15.75" customHeight="1">
      <c r="A300" s="21">
        <v>45141.0</v>
      </c>
      <c r="B300" s="7" t="str">
        <f>HYPERLINK("https://www.aarweb.org/","American Academy of Religion")</f>
        <v>American Academy of Religion</v>
      </c>
      <c r="C300" s="8" t="s">
        <v>10</v>
      </c>
      <c r="D300" s="7" t="str">
        <f>HYPERLINK("https://www.aarweb.org/AARMBR/Who-We-Are-/Grant-Programs.aspx","Individual and Collaborative Grants")</f>
        <v>Individual and Collaborative Grants</v>
      </c>
      <c r="E300" s="18" t="s">
        <v>554</v>
      </c>
      <c r="F300" s="9" t="s">
        <v>46</v>
      </c>
      <c r="G300" s="9"/>
      <c r="H300" s="23" t="s">
        <v>800</v>
      </c>
      <c r="I300" s="27" t="s">
        <v>801</v>
      </c>
      <c r="J300" s="5"/>
    </row>
    <row r="301" ht="15.75" customHeight="1">
      <c r="A301" s="19">
        <v>45141.0</v>
      </c>
      <c r="B301" s="7" t="str">
        <f>HYPERLINK("NSf.gov","National Science Foundation")</f>
        <v>National Science Foundation</v>
      </c>
      <c r="C301" s="8" t="s">
        <v>41</v>
      </c>
      <c r="D301" s="22" t="s">
        <v>802</v>
      </c>
      <c r="E301" s="18" t="s">
        <v>394</v>
      </c>
      <c r="F301" s="9" t="s">
        <v>90</v>
      </c>
      <c r="G301" s="9"/>
      <c r="H301" s="9"/>
      <c r="I301" s="27" t="s">
        <v>803</v>
      </c>
      <c r="J301" s="5"/>
    </row>
    <row r="302" ht="15.75" customHeight="1">
      <c r="A302" s="19">
        <v>45140.0</v>
      </c>
      <c r="B302" s="7" t="str">
        <f>HYPERLINK("http://www.joycefdn.org/","Joyce Foundation")</f>
        <v>Joyce Foundation</v>
      </c>
      <c r="C302" s="8" t="s">
        <v>16</v>
      </c>
      <c r="D302" s="7" t="str">
        <f>HYPERLINK("http://www.joycefdn.org/apply","Grants")</f>
        <v>Grants</v>
      </c>
      <c r="E302" s="18" t="s">
        <v>45</v>
      </c>
      <c r="F302" s="9" t="s">
        <v>221</v>
      </c>
      <c r="G302" s="9"/>
      <c r="H302" s="9" t="s">
        <v>804</v>
      </c>
      <c r="I302" s="27" t="s">
        <v>805</v>
      </c>
      <c r="J302" s="5"/>
    </row>
    <row r="303" ht="15.75" customHeight="1">
      <c r="A303" s="19">
        <v>45142.0</v>
      </c>
      <c r="B303" s="7" t="s">
        <v>491</v>
      </c>
      <c r="C303" s="8" t="s">
        <v>41</v>
      </c>
      <c r="D303" s="7" t="str">
        <f>HYPERLINK("https://www.arts.gov/grants-organizations/our-town/grant-program-description","Our Town")</f>
        <v>Our Town</v>
      </c>
      <c r="E303" s="18" t="s">
        <v>17</v>
      </c>
      <c r="F303" s="9" t="s">
        <v>546</v>
      </c>
      <c r="G303" s="9"/>
      <c r="H303" s="23" t="s">
        <v>806</v>
      </c>
      <c r="I303" s="16" t="s">
        <v>807</v>
      </c>
      <c r="J303" s="5"/>
    </row>
    <row r="304" ht="15.75" customHeight="1">
      <c r="A304" s="19">
        <v>44413.0</v>
      </c>
      <c r="B304" s="13" t="s">
        <v>491</v>
      </c>
      <c r="C304" s="14" t="s">
        <v>16</v>
      </c>
      <c r="D304" s="13" t="s">
        <v>808</v>
      </c>
      <c r="E304" s="6" t="s">
        <v>655</v>
      </c>
      <c r="F304" s="18"/>
      <c r="G304" s="18"/>
      <c r="H304" s="23"/>
      <c r="I304" s="16" t="s">
        <v>809</v>
      </c>
      <c r="J304" s="5"/>
    </row>
    <row r="305" ht="15.75" customHeight="1">
      <c r="A305" s="19">
        <v>44413.0</v>
      </c>
      <c r="B305" s="7" t="str">
        <f>HYPERLINK("http://www.dreyfus.org/","Dreyfus Foundation")</f>
        <v>Dreyfus Foundation</v>
      </c>
      <c r="C305" s="8" t="s">
        <v>16</v>
      </c>
      <c r="D305" s="7" t="str">
        <f>HYPERLINK("https://www.dreyfus.org/henry-dreyfus-teacher-scholar/I112","The Henry Dreyfus Teacher-Scholar Awards Program")</f>
        <v>The Henry Dreyfus Teacher-Scholar Awards Program</v>
      </c>
      <c r="E305" s="18" t="s">
        <v>399</v>
      </c>
      <c r="F305" s="18" t="s">
        <v>83</v>
      </c>
      <c r="G305" s="18" t="s">
        <v>363</v>
      </c>
      <c r="H305" s="94">
        <v>75000.0</v>
      </c>
      <c r="I305" s="73" t="s">
        <v>810</v>
      </c>
      <c r="J305" s="5"/>
    </row>
    <row r="306" ht="15.75" customHeight="1">
      <c r="A306" s="12">
        <v>44416.0</v>
      </c>
      <c r="B306" s="7" t="str">
        <f>HYPERLINK("nih.gov","National Institutes of Health")</f>
        <v>National Institutes of Health</v>
      </c>
      <c r="C306" s="8" t="s">
        <v>41</v>
      </c>
      <c r="D306" s="13" t="s">
        <v>811</v>
      </c>
      <c r="E306" s="18" t="s">
        <v>642</v>
      </c>
      <c r="F306" s="9" t="s">
        <v>107</v>
      </c>
      <c r="G306" s="9" t="s">
        <v>812</v>
      </c>
      <c r="H306" s="9"/>
      <c r="I306" s="27" t="s">
        <v>813</v>
      </c>
      <c r="J306" s="5"/>
    </row>
    <row r="307" ht="15.75" customHeight="1">
      <c r="A307" s="19">
        <v>44970.0</v>
      </c>
      <c r="B307" s="7" t="str">
        <f t="shared" ref="B307:B308" si="17">HYPERLINK("http://NSf.gov","National Science Foundation")</f>
        <v>National Science Foundation</v>
      </c>
      <c r="C307" s="8" t="s">
        <v>41</v>
      </c>
      <c r="D307" s="7" t="s">
        <v>814</v>
      </c>
      <c r="E307" s="18" t="s">
        <v>194</v>
      </c>
      <c r="F307" s="18" t="s">
        <v>90</v>
      </c>
      <c r="G307" s="18"/>
      <c r="H307" s="9"/>
      <c r="I307" s="27" t="s">
        <v>815</v>
      </c>
      <c r="J307" s="5"/>
    </row>
    <row r="308" ht="15.75" customHeight="1">
      <c r="A308" s="19">
        <v>45149.0</v>
      </c>
      <c r="B308" s="7" t="str">
        <f t="shared" si="17"/>
        <v>National Science Foundation</v>
      </c>
      <c r="C308" s="8" t="s">
        <v>41</v>
      </c>
      <c r="D308" s="7" t="str">
        <f>HYPERLINK("https://www.nsf.gov/funding/pgm_summ.jsp?pims_id=5467","Innovative Technology Experiences for Students and Teachers (ITEST)")</f>
        <v>Innovative Technology Experiences for Students and Teachers (ITEST)</v>
      </c>
      <c r="E308" s="18" t="s">
        <v>816</v>
      </c>
      <c r="F308" s="9" t="s">
        <v>817</v>
      </c>
      <c r="G308" s="9"/>
      <c r="H308" s="23"/>
      <c r="I308" s="27" t="s">
        <v>818</v>
      </c>
      <c r="J308" s="5"/>
    </row>
    <row r="309" ht="15.75" customHeight="1">
      <c r="A309" s="19">
        <v>44423.0</v>
      </c>
      <c r="B309" s="7" t="str">
        <f>HYPERLINK("https://www.newberry.org/","Newberry Library")</f>
        <v>Newberry Library</v>
      </c>
      <c r="C309" s="8" t="s">
        <v>16</v>
      </c>
      <c r="D309" s="7" t="s">
        <v>184</v>
      </c>
      <c r="E309" s="18" t="s">
        <v>128</v>
      </c>
      <c r="F309" s="9" t="s">
        <v>301</v>
      </c>
      <c r="G309" s="9"/>
      <c r="H309" s="9" t="s">
        <v>819</v>
      </c>
      <c r="I309" s="27" t="s">
        <v>820</v>
      </c>
      <c r="J309" s="5"/>
    </row>
    <row r="310" ht="15.75" customHeight="1">
      <c r="A310" s="19">
        <v>45153.0</v>
      </c>
      <c r="B310" s="7" t="s">
        <v>124</v>
      </c>
      <c r="C310" s="8" t="s">
        <v>41</v>
      </c>
      <c r="D310" s="22" t="s">
        <v>821</v>
      </c>
      <c r="E310" s="18" t="s">
        <v>394</v>
      </c>
      <c r="F310" s="18" t="s">
        <v>90</v>
      </c>
      <c r="G310" s="10"/>
      <c r="H310" s="95"/>
      <c r="I310" s="27" t="s">
        <v>822</v>
      </c>
      <c r="J310" s="5"/>
    </row>
    <row r="311" ht="15.75" customHeight="1">
      <c r="A311" s="6" t="s">
        <v>823</v>
      </c>
      <c r="B311" s="7" t="s">
        <v>124</v>
      </c>
      <c r="C311" s="8" t="s">
        <v>41</v>
      </c>
      <c r="D311" s="7" t="s">
        <v>824</v>
      </c>
      <c r="E311" s="18" t="s">
        <v>639</v>
      </c>
      <c r="F311" s="18" t="s">
        <v>90</v>
      </c>
      <c r="G311" s="10"/>
      <c r="H311" s="9"/>
      <c r="I311" s="16" t="s">
        <v>825</v>
      </c>
      <c r="J311" s="5"/>
    </row>
    <row r="312" ht="15.75" customHeight="1">
      <c r="A312" s="19">
        <v>45185.0</v>
      </c>
      <c r="B312" s="7" t="str">
        <f>HYPERLINK("http://www.sifoundation.org/","Sociological Initiative Foundation")</f>
        <v>Sociological Initiative Foundation</v>
      </c>
      <c r="C312" s="8" t="s">
        <v>16</v>
      </c>
      <c r="D312" s="7" t="s">
        <v>759</v>
      </c>
      <c r="E312" s="18" t="s">
        <v>639</v>
      </c>
      <c r="F312" s="9" t="s">
        <v>110</v>
      </c>
      <c r="G312" s="9"/>
      <c r="H312" s="9" t="s">
        <v>826</v>
      </c>
      <c r="I312" s="27" t="s">
        <v>827</v>
      </c>
      <c r="J312" s="5"/>
    </row>
    <row r="313" ht="15.75" customHeight="1">
      <c r="A313" s="19">
        <v>45156.0</v>
      </c>
      <c r="B313" s="24" t="str">
        <f>HYPERLINK("https://searlefreedomtrust.org","Searle Freedom Trust")</f>
        <v>Searle Freedom Trust</v>
      </c>
      <c r="C313" s="8" t="s">
        <v>16</v>
      </c>
      <c r="D313" s="24" t="str">
        <f>HYPERLINK("https://searlefreedomtrust.org/application-guidelines/","Grants in Public Policy")</f>
        <v>Grants in Public Policy</v>
      </c>
      <c r="E313" s="18" t="s">
        <v>394</v>
      </c>
      <c r="F313" s="9" t="s">
        <v>90</v>
      </c>
      <c r="G313" s="9"/>
      <c r="H313" s="9"/>
      <c r="I313" s="16" t="s">
        <v>828</v>
      </c>
      <c r="J313" s="5"/>
    </row>
    <row r="314" ht="15.75" customHeight="1">
      <c r="A314" s="19">
        <v>45107.0</v>
      </c>
      <c r="B314" s="7" t="str">
        <f>HYPERLINK("https://www.nypl.org","New York Public Library")</f>
        <v>New York Public Library</v>
      </c>
      <c r="C314" s="8" t="s">
        <v>49</v>
      </c>
      <c r="D314" s="7" t="str">
        <f>HYPERLINK("https://www.nypl.org/help/about-nypl/fellowships-institutes/martin-duberman-visiting-fellowship","Martin Duberman Visiting Fellowship")</f>
        <v>Martin Duberman Visiting Fellowship</v>
      </c>
      <c r="E314" s="18" t="s">
        <v>45</v>
      </c>
      <c r="F314" s="18" t="s">
        <v>34</v>
      </c>
      <c r="G314" s="9"/>
      <c r="H314" s="23">
        <v>20000.0</v>
      </c>
      <c r="I314" s="16" t="s">
        <v>829</v>
      </c>
      <c r="J314" s="5"/>
    </row>
    <row r="315" ht="15.75" customHeight="1">
      <c r="A315" s="19">
        <v>45169.0</v>
      </c>
      <c r="B315" s="7" t="str">
        <f>HYPERLINK("http://www.eifgrants.org","Engineering Information Foundation")</f>
        <v>Engineering Information Foundation</v>
      </c>
      <c r="C315" s="8" t="s">
        <v>16</v>
      </c>
      <c r="D315" s="22" t="s">
        <v>830</v>
      </c>
      <c r="E315" s="18" t="s">
        <v>648</v>
      </c>
      <c r="F315" s="9" t="s">
        <v>221</v>
      </c>
      <c r="G315" s="9"/>
      <c r="H315" s="9" t="s">
        <v>831</v>
      </c>
      <c r="I315" s="16" t="s">
        <v>832</v>
      </c>
      <c r="J315" s="5"/>
    </row>
    <row r="316" ht="15.75" customHeight="1">
      <c r="A316" s="21">
        <v>45077.0</v>
      </c>
      <c r="B316" s="7" t="str">
        <f>HYPERLINK("https://sydney.edu.au/","University of Sydney")</f>
        <v>University of Sydney</v>
      </c>
      <c r="C316" s="8" t="s">
        <v>10</v>
      </c>
      <c r="D316" s="17" t="s">
        <v>833</v>
      </c>
      <c r="E316" s="18" t="s">
        <v>128</v>
      </c>
      <c r="F316" s="9" t="s">
        <v>87</v>
      </c>
      <c r="G316" s="9"/>
      <c r="H316" s="23"/>
      <c r="I316" s="16" t="s">
        <v>834</v>
      </c>
      <c r="J316" s="5"/>
    </row>
    <row r="317" ht="15.75" customHeight="1">
      <c r="A317" s="21">
        <v>45198.0</v>
      </c>
      <c r="B317" s="7" t="str">
        <f>HYPERLINK("https://erc.europa.eu/","European Research Council")</f>
        <v>European Research Council</v>
      </c>
      <c r="C317" s="8" t="s">
        <v>16</v>
      </c>
      <c r="D317" s="17" t="s">
        <v>835</v>
      </c>
      <c r="E317" s="18" t="s">
        <v>45</v>
      </c>
      <c r="F317" s="9" t="s">
        <v>46</v>
      </c>
      <c r="G317" s="9"/>
      <c r="H317" s="23" t="s">
        <v>836</v>
      </c>
      <c r="I317" s="27" t="s">
        <v>837</v>
      </c>
      <c r="J317" s="5"/>
    </row>
    <row r="318" ht="15.75" customHeight="1">
      <c r="A318" s="19">
        <v>44440.0</v>
      </c>
      <c r="B318" s="7" t="str">
        <f>HYPERLINK("https://www.ssrc.org/","Social Science Research Council")</f>
        <v>Social Science Research Council</v>
      </c>
      <c r="C318" s="8" t="s">
        <v>16</v>
      </c>
      <c r="D318" s="7" t="str">
        <f>HYPERLINK("https://www.ssrc.org/fellowships/view/abe-fellowship/","Abe Fellowship")</f>
        <v>Abe Fellowship</v>
      </c>
      <c r="E318" s="18" t="s">
        <v>394</v>
      </c>
      <c r="F318" s="9" t="s">
        <v>66</v>
      </c>
      <c r="G318" s="9"/>
      <c r="H318" s="9" t="s">
        <v>838</v>
      </c>
      <c r="I318" s="16" t="s">
        <v>839</v>
      </c>
      <c r="J318" s="5"/>
    </row>
    <row r="319" ht="15.75" customHeight="1">
      <c r="A319" s="19">
        <v>45170.0</v>
      </c>
      <c r="B319" s="7" t="str">
        <f>HYPERLINK("https://warholfoundation.org/","Warhol Foundation")</f>
        <v>Warhol Foundation</v>
      </c>
      <c r="C319" s="8" t="s">
        <v>16</v>
      </c>
      <c r="D319" s="7" t="str">
        <f>HYPERLINK("https://warholfoundation.org/grant/overview.html"," Grants for Scholarly Exhibitions, Publications, and Visual Arts Programming, Including Artist Residencies and New Commissions.")</f>
        <v> Grants for Scholarly Exhibitions, Publications, and Visual Arts Programming, Including Artist Residencies and New Commissions.</v>
      </c>
      <c r="E319" s="18" t="s">
        <v>840</v>
      </c>
      <c r="F319" s="9" t="s">
        <v>83</v>
      </c>
      <c r="G319" s="9"/>
      <c r="H319" s="9" t="s">
        <v>841</v>
      </c>
      <c r="I319" s="16" t="s">
        <v>842</v>
      </c>
      <c r="J319" s="5"/>
    </row>
    <row r="320" ht="15.75" customHeight="1">
      <c r="A320" s="19">
        <v>45170.0</v>
      </c>
      <c r="B320" s="7" t="str">
        <f t="shared" ref="B320:B321" si="18">HYPERLINK("http://www.kressfoundation.org","Kress Foundation")</f>
        <v>Kress Foundation</v>
      </c>
      <c r="C320" s="8" t="s">
        <v>16</v>
      </c>
      <c r="D320" s="17" t="s">
        <v>843</v>
      </c>
      <c r="E320" s="18" t="s">
        <v>82</v>
      </c>
      <c r="F320" s="15" t="s">
        <v>143</v>
      </c>
      <c r="G320" s="15"/>
      <c r="H320" s="9"/>
      <c r="I320" s="16" t="s">
        <v>844</v>
      </c>
      <c r="J320" s="5"/>
    </row>
    <row r="321" ht="15.75" customHeight="1">
      <c r="A321" s="19">
        <v>45170.0</v>
      </c>
      <c r="B321" s="7" t="str">
        <f t="shared" si="18"/>
        <v>Kress Foundation</v>
      </c>
      <c r="C321" s="8" t="s">
        <v>16</v>
      </c>
      <c r="D321" s="17" t="s">
        <v>845</v>
      </c>
      <c r="E321" s="18" t="s">
        <v>65</v>
      </c>
      <c r="F321" s="15" t="s">
        <v>846</v>
      </c>
      <c r="G321" s="15"/>
      <c r="H321" s="9"/>
      <c r="I321" s="16" t="s">
        <v>847</v>
      </c>
      <c r="J321" s="5"/>
    </row>
    <row r="322" ht="15.75" customHeight="1">
      <c r="A322" s="21">
        <v>45170.0</v>
      </c>
      <c r="B322" s="13" t="s">
        <v>848</v>
      </c>
      <c r="C322" s="14" t="s">
        <v>16</v>
      </c>
      <c r="D322" s="13" t="s">
        <v>849</v>
      </c>
      <c r="E322" s="6" t="s">
        <v>850</v>
      </c>
      <c r="F322" s="6" t="s">
        <v>46</v>
      </c>
      <c r="G322" s="18"/>
      <c r="H322" s="96">
        <v>4000.0</v>
      </c>
      <c r="I322" s="97" t="s">
        <v>851</v>
      </c>
      <c r="J322" s="5"/>
    </row>
    <row r="323" ht="15.75" customHeight="1">
      <c r="A323" s="21">
        <v>45174.0</v>
      </c>
      <c r="B323" s="7" t="str">
        <f t="shared" ref="B323:B326" si="19">HYPERLINK("https://www.nsf.gov/","National Science Foundation")</f>
        <v>National Science Foundation</v>
      </c>
      <c r="C323" s="8" t="s">
        <v>41</v>
      </c>
      <c r="D323" s="7" t="s">
        <v>852</v>
      </c>
      <c r="E323" s="18" t="s">
        <v>394</v>
      </c>
      <c r="F323" s="18" t="s">
        <v>90</v>
      </c>
      <c r="G323" s="18"/>
      <c r="H323" s="9"/>
      <c r="I323" s="16" t="s">
        <v>853</v>
      </c>
      <c r="J323" s="5"/>
    </row>
    <row r="324" ht="15.75" customHeight="1">
      <c r="A324" s="6" t="s">
        <v>823</v>
      </c>
      <c r="B324" s="7" t="str">
        <f t="shared" si="19"/>
        <v>National Science Foundation</v>
      </c>
      <c r="C324" s="8" t="s">
        <v>41</v>
      </c>
      <c r="D324" s="7" t="str">
        <f>HYPERLINK("https://www.nsf.gov/funding/pgm_summ.jsp?pims_id=5690","Mathematical Biology")</f>
        <v>Mathematical Biology</v>
      </c>
      <c r="E324" s="18" t="s">
        <v>106</v>
      </c>
      <c r="F324" s="9" t="s">
        <v>90</v>
      </c>
      <c r="G324" s="9"/>
      <c r="H324" s="9"/>
      <c r="I324" s="27" t="s">
        <v>854</v>
      </c>
      <c r="J324" s="5"/>
    </row>
    <row r="325" ht="15.75" customHeight="1">
      <c r="A325" s="19">
        <v>45083.0</v>
      </c>
      <c r="B325" s="7" t="str">
        <f t="shared" si="19"/>
        <v>National Science Foundation</v>
      </c>
      <c r="C325" s="8" t="s">
        <v>41</v>
      </c>
      <c r="D325" s="7" t="str">
        <f>HYPERLINK("https://www.nsf.gov/funding/pgm_summ.jsp?pims_id=5671","Research Training Groups in the Mathematical Sciences")</f>
        <v>Research Training Groups in the Mathematical Sciences</v>
      </c>
      <c r="E325" s="18" t="s">
        <v>106</v>
      </c>
      <c r="F325" s="9" t="s">
        <v>90</v>
      </c>
      <c r="G325" s="9"/>
      <c r="H325" s="9" t="s">
        <v>855</v>
      </c>
      <c r="I325" s="27" t="s">
        <v>856</v>
      </c>
      <c r="J325" s="5"/>
    </row>
    <row r="326" ht="15.75" customHeight="1">
      <c r="A326" s="19">
        <v>45224.0</v>
      </c>
      <c r="B326" s="7" t="str">
        <f t="shared" si="19"/>
        <v>National Science Foundation</v>
      </c>
      <c r="C326" s="8" t="s">
        <v>41</v>
      </c>
      <c r="D326" s="7" t="str">
        <f>HYPERLINK("https://www.nsf.gov/funding/pgm_summ.jsp?pims_id=503144","Division of Earth Sciences Postdoctoral Fellowships")</f>
        <v>Division of Earth Sciences Postdoctoral Fellowships</v>
      </c>
      <c r="E326" s="18" t="s">
        <v>188</v>
      </c>
      <c r="F326" s="9" t="s">
        <v>87</v>
      </c>
      <c r="G326" s="9" t="s">
        <v>72</v>
      </c>
      <c r="H326" s="9"/>
      <c r="I326" s="27" t="s">
        <v>857</v>
      </c>
      <c r="J326" s="40" t="s">
        <v>858</v>
      </c>
    </row>
    <row r="327" ht="15.75" customHeight="1">
      <c r="A327" s="19">
        <v>44448.0</v>
      </c>
      <c r="B327" s="7" t="str">
        <f>HYPERLINK("https://www.radcliffe.harvard.edu/","Radcliffe Institute for Advanced Study Harvard University")</f>
        <v>Radcliffe Institute for Advanced Study Harvard University</v>
      </c>
      <c r="C327" s="8" t="s">
        <v>10</v>
      </c>
      <c r="D327" s="17" t="s">
        <v>859</v>
      </c>
      <c r="E327" s="18" t="s">
        <v>860</v>
      </c>
      <c r="F327" s="9" t="s">
        <v>34</v>
      </c>
      <c r="G327" s="9"/>
      <c r="H327" s="9"/>
      <c r="I327" s="16" t="s">
        <v>861</v>
      </c>
      <c r="J327" s="5"/>
    </row>
    <row r="328" ht="15.75" customHeight="1">
      <c r="A328" s="30">
        <v>45182.0</v>
      </c>
      <c r="B328" s="7" t="str">
        <f>HYPERLINK("https://lmcc.net/","Lower Manhattan Cultural Council")</f>
        <v>Lower Manhattan Cultural Council</v>
      </c>
      <c r="C328" s="8" t="s">
        <v>16</v>
      </c>
      <c r="D328" s="7" t="str">
        <f>HYPERLINK("https://lmcc.net/resources/manhattan-arts-grants/creative-learning/","Creative Learning")</f>
        <v>Creative Learning</v>
      </c>
      <c r="E328" s="18" t="s">
        <v>862</v>
      </c>
      <c r="F328" s="9" t="s">
        <v>110</v>
      </c>
      <c r="G328" s="9"/>
      <c r="H328" s="23"/>
      <c r="I328" s="16" t="s">
        <v>863</v>
      </c>
      <c r="J328" s="5"/>
    </row>
    <row r="329" ht="15.75" hidden="1" customHeight="1">
      <c r="A329" s="19">
        <v>44334.0</v>
      </c>
      <c r="B329" s="7" t="str">
        <f>HYPERLINK("https://www.neh.gov/","National Endowment for the Humanitites")</f>
        <v>National Endowment for the Humanitites</v>
      </c>
      <c r="C329" s="48" t="s">
        <v>41</v>
      </c>
      <c r="D329" s="98" t="str">
        <f>HYPERLINK("https://www.neh.gov/grants/preservation/research-and-development","Research and Development")</f>
        <v>Research and Development</v>
      </c>
      <c r="E329" s="18" t="s">
        <v>419</v>
      </c>
      <c r="F329" s="9" t="s">
        <v>90</v>
      </c>
      <c r="G329" s="9"/>
      <c r="H329" s="9"/>
      <c r="I329" s="27" t="s">
        <v>864</v>
      </c>
      <c r="J329" s="5"/>
    </row>
    <row r="330" ht="15.75" customHeight="1">
      <c r="A330" s="30">
        <v>45182.0</v>
      </c>
      <c r="B330" s="7" t="str">
        <f t="shared" ref="B330:B331" si="20">HYPERLINK("https://lmcc.net/","Lower Manhattan Cultural Council")</f>
        <v>Lower Manhattan Cultural Council</v>
      </c>
      <c r="C330" s="8" t="s">
        <v>16</v>
      </c>
      <c r="D330" s="7" t="str">
        <f>HYPERLINK("https://lmcc.net/resources/manhattan-arts-grants/umez-arts-engagement/","UMEZ Arts Engagement")</f>
        <v>UMEZ Arts Engagement</v>
      </c>
      <c r="E330" s="18" t="s">
        <v>862</v>
      </c>
      <c r="F330" s="9" t="s">
        <v>110</v>
      </c>
      <c r="G330" s="9"/>
      <c r="H330" s="23"/>
      <c r="I330" s="16" t="s">
        <v>865</v>
      </c>
      <c r="J330" s="5"/>
    </row>
    <row r="331" ht="15.75" customHeight="1">
      <c r="A331" s="30">
        <v>44453.0</v>
      </c>
      <c r="B331" s="7" t="str">
        <f t="shared" si="20"/>
        <v>Lower Manhattan Cultural Council</v>
      </c>
      <c r="C331" s="8" t="s">
        <v>16</v>
      </c>
      <c r="D331" s="7" t="str">
        <f>HYPERLINK("https://lmcc.net/resources/manhattan-arts-grants/creative-engagement/","Creative Engagement")</f>
        <v>Creative Engagement</v>
      </c>
      <c r="E331" s="18" t="s">
        <v>862</v>
      </c>
      <c r="F331" s="9" t="s">
        <v>110</v>
      </c>
      <c r="G331" s="9"/>
      <c r="H331" s="23"/>
      <c r="I331" s="16" t="s">
        <v>866</v>
      </c>
      <c r="J331" s="5"/>
    </row>
    <row r="332" ht="15.75" customHeight="1">
      <c r="A332" s="19">
        <v>45176.0</v>
      </c>
      <c r="B332" s="7" t="s">
        <v>867</v>
      </c>
      <c r="C332" s="8" t="s">
        <v>41</v>
      </c>
      <c r="D332" s="7" t="s">
        <v>868</v>
      </c>
      <c r="E332" s="18" t="s">
        <v>82</v>
      </c>
      <c r="F332" s="9" t="s">
        <v>221</v>
      </c>
      <c r="G332" s="9"/>
      <c r="H332" s="9"/>
      <c r="I332" s="27" t="s">
        <v>869</v>
      </c>
      <c r="J332" s="5"/>
    </row>
    <row r="333" ht="15.75" customHeight="1">
      <c r="A333" s="19">
        <v>45176.0</v>
      </c>
      <c r="B333" s="7" t="s">
        <v>40</v>
      </c>
      <c r="C333" s="8" t="s">
        <v>41</v>
      </c>
      <c r="D333" s="7" t="s">
        <v>870</v>
      </c>
      <c r="E333" s="18" t="s">
        <v>82</v>
      </c>
      <c r="F333" s="9" t="s">
        <v>221</v>
      </c>
      <c r="G333" s="9"/>
      <c r="H333" s="9"/>
      <c r="I333" s="27" t="s">
        <v>869</v>
      </c>
      <c r="J333" s="5"/>
    </row>
    <row r="334" ht="15.75" customHeight="1">
      <c r="A334" s="19">
        <v>45176.0</v>
      </c>
      <c r="B334" s="13" t="s">
        <v>40</v>
      </c>
      <c r="C334" s="8" t="s">
        <v>41</v>
      </c>
      <c r="D334" s="13" t="s">
        <v>871</v>
      </c>
      <c r="E334" s="18" t="s">
        <v>82</v>
      </c>
      <c r="F334" s="9" t="s">
        <v>143</v>
      </c>
      <c r="G334" s="9"/>
      <c r="H334" s="50" t="s">
        <v>872</v>
      </c>
      <c r="I334" s="16" t="s">
        <v>873</v>
      </c>
      <c r="J334" s="5"/>
    </row>
    <row r="335" ht="15.75" customHeight="1">
      <c r="A335" s="19">
        <v>45184.0</v>
      </c>
      <c r="B335" s="7" t="str">
        <f>HYPERLINK("http://grahamfoundation.org","Graham Foundation")</f>
        <v>Graham Foundation</v>
      </c>
      <c r="C335" s="8" t="s">
        <v>16</v>
      </c>
      <c r="D335" s="17" t="s">
        <v>874</v>
      </c>
      <c r="E335" s="18" t="s">
        <v>875</v>
      </c>
      <c r="F335" s="9" t="s">
        <v>138</v>
      </c>
      <c r="G335" s="9"/>
      <c r="H335" s="9" t="s">
        <v>876</v>
      </c>
      <c r="I335" s="16" t="s">
        <v>877</v>
      </c>
      <c r="J335" s="5"/>
    </row>
    <row r="336" ht="15.75" customHeight="1">
      <c r="A336" s="19">
        <v>44454.0</v>
      </c>
      <c r="B336" s="7" t="str">
        <f>HYPERLINK("https://sloan.org/","Alfred P. Sloan Foundation")</f>
        <v>Alfred P. Sloan Foundation</v>
      </c>
      <c r="C336" s="8" t="s">
        <v>243</v>
      </c>
      <c r="D336" s="7" t="s">
        <v>878</v>
      </c>
      <c r="E336" s="18" t="s">
        <v>77</v>
      </c>
      <c r="F336" s="9" t="s">
        <v>107</v>
      </c>
      <c r="G336" s="9" t="s">
        <v>363</v>
      </c>
      <c r="H336" s="23">
        <v>75000.0</v>
      </c>
      <c r="I336" s="16" t="s">
        <v>879</v>
      </c>
      <c r="J336" s="5"/>
    </row>
    <row r="337" ht="15.75" customHeight="1">
      <c r="A337" s="19">
        <v>44454.0</v>
      </c>
      <c r="B337" s="7" t="str">
        <f t="shared" ref="B337:B339" si="21">HYPERLINK("https://www.rsa.org/","Renaissance Society of America")</f>
        <v>Renaissance Society of America</v>
      </c>
      <c r="C337" s="8" t="s">
        <v>16</v>
      </c>
      <c r="D337" s="13" t="s">
        <v>880</v>
      </c>
      <c r="E337" s="18" t="s">
        <v>65</v>
      </c>
      <c r="F337" s="18" t="s">
        <v>34</v>
      </c>
      <c r="G337" s="9"/>
      <c r="H337" s="75">
        <v>2000.0</v>
      </c>
      <c r="I337" s="16" t="s">
        <v>881</v>
      </c>
      <c r="J337" s="5"/>
    </row>
    <row r="338" ht="15.75" customHeight="1">
      <c r="A338" s="19">
        <v>44454.0</v>
      </c>
      <c r="B338" s="7" t="str">
        <f t="shared" si="21"/>
        <v>Renaissance Society of America</v>
      </c>
      <c r="C338" s="8" t="s">
        <v>16</v>
      </c>
      <c r="D338" s="7" t="str">
        <f>HYPERLINK("https://www.rsa.org/page/fellowships","Research Fellowships")</f>
        <v>Research Fellowships</v>
      </c>
      <c r="E338" s="18" t="s">
        <v>128</v>
      </c>
      <c r="F338" s="18" t="s">
        <v>66</v>
      </c>
      <c r="G338" s="9"/>
      <c r="H338" s="23">
        <v>3000.0</v>
      </c>
      <c r="I338" s="16" t="s">
        <v>882</v>
      </c>
      <c r="J338" s="5"/>
    </row>
    <row r="339" ht="15.75" customHeight="1">
      <c r="A339" s="19">
        <v>44454.0</v>
      </c>
      <c r="B339" s="7" t="str">
        <f t="shared" si="21"/>
        <v>Renaissance Society of America</v>
      </c>
      <c r="C339" s="8" t="s">
        <v>16</v>
      </c>
      <c r="D339" s="7" t="str">
        <f>HYPERLINK("https://www.rsa.org/page/fellowships", "Residential Fellowships")</f>
        <v>Residential Fellowships</v>
      </c>
      <c r="E339" s="18" t="s">
        <v>128</v>
      </c>
      <c r="F339" s="18" t="s">
        <v>34</v>
      </c>
      <c r="G339" s="9"/>
      <c r="H339" s="23" t="s">
        <v>883</v>
      </c>
      <c r="I339" s="16" t="s">
        <v>884</v>
      </c>
      <c r="J339" s="5"/>
    </row>
    <row r="340" ht="15.75" customHeight="1">
      <c r="A340" s="19">
        <v>45184.0</v>
      </c>
      <c r="B340" s="13" t="s">
        <v>885</v>
      </c>
      <c r="C340" s="8" t="s">
        <v>41</v>
      </c>
      <c r="D340" s="7" t="s">
        <v>886</v>
      </c>
      <c r="E340" s="18" t="s">
        <v>45</v>
      </c>
      <c r="F340" s="9" t="s">
        <v>191</v>
      </c>
      <c r="G340" s="9"/>
      <c r="H340" s="9"/>
      <c r="I340" s="27" t="s">
        <v>887</v>
      </c>
      <c r="J340" s="5"/>
    </row>
    <row r="341" ht="15.75" customHeight="1">
      <c r="A341" s="19">
        <v>45184.0</v>
      </c>
      <c r="B341" s="7" t="str">
        <f>HYPERLINK("http://grahamfoundation.org","Graham Foundation")</f>
        <v>Graham Foundation</v>
      </c>
      <c r="C341" s="8" t="s">
        <v>16</v>
      </c>
      <c r="D341" s="7" t="str">
        <f>HYPERLINK("http://www.grahamfoundation.org/grant_programs?mode=individual","Production and Presentation Grants")</f>
        <v>Production and Presentation Grants</v>
      </c>
      <c r="E341" s="18" t="s">
        <v>875</v>
      </c>
      <c r="F341" s="9" t="s">
        <v>138</v>
      </c>
      <c r="G341" s="9"/>
      <c r="H341" s="9" t="s">
        <v>888</v>
      </c>
      <c r="I341" s="27" t="s">
        <v>889</v>
      </c>
      <c r="J341" s="5"/>
    </row>
    <row r="342" ht="15.75" customHeight="1">
      <c r="A342" s="19">
        <v>45199.0</v>
      </c>
      <c r="B342" s="7" t="str">
        <f>HYPERLINK("http://www.gei.de/en/home.html","Georg Eckert Institute")</f>
        <v>Georg Eckert Institute</v>
      </c>
      <c r="C342" s="8" t="s">
        <v>16</v>
      </c>
      <c r="D342" s="7" t="s">
        <v>890</v>
      </c>
      <c r="E342" s="18" t="s">
        <v>306</v>
      </c>
      <c r="F342" s="9" t="s">
        <v>34</v>
      </c>
      <c r="G342" s="9"/>
      <c r="H342" s="77" t="s">
        <v>891</v>
      </c>
      <c r="I342" s="27" t="s">
        <v>892</v>
      </c>
      <c r="J342" s="5"/>
    </row>
    <row r="343" ht="15.75" customHeight="1">
      <c r="A343" s="19">
        <v>45184.0</v>
      </c>
      <c r="B343" s="7" t="str">
        <f t="shared" ref="B343:B344" si="22">HYPERLINK("http://www.collegeart.org/","College Art Association")</f>
        <v>College Art Association</v>
      </c>
      <c r="C343" s="8" t="s">
        <v>16</v>
      </c>
      <c r="D343" s="7" t="str">
        <f>HYPERLINK("http://www.collegeart.org/programs/publishing-grants/meiss","MILLARD MEISS PUBLICATION FUND")</f>
        <v>MILLARD MEISS PUBLICATION FUND</v>
      </c>
      <c r="E343" s="18" t="s">
        <v>65</v>
      </c>
      <c r="F343" s="9" t="s">
        <v>893</v>
      </c>
      <c r="G343" s="9"/>
      <c r="H343" s="9"/>
      <c r="I343" s="16" t="s">
        <v>894</v>
      </c>
      <c r="J343" s="5"/>
    </row>
    <row r="344" ht="15.75" customHeight="1">
      <c r="A344" s="19">
        <v>45184.0</v>
      </c>
      <c r="B344" s="7" t="str">
        <f t="shared" si="22"/>
        <v>College Art Association</v>
      </c>
      <c r="C344" s="8" t="s">
        <v>16</v>
      </c>
      <c r="D344" s="7" t="str">
        <f>HYPERLINK("http://www.collegeart.org/programs/publishing-grants/wyeth/index","WYETH FOUNDATION FOR AMERICAN ART PUBLICATION GRANT")</f>
        <v>WYETH FOUNDATION FOR AMERICAN ART PUBLICATION GRANT</v>
      </c>
      <c r="E344" s="18" t="s">
        <v>65</v>
      </c>
      <c r="F344" s="9" t="s">
        <v>893</v>
      </c>
      <c r="G344" s="9"/>
      <c r="H344" s="9"/>
      <c r="I344" s="16" t="s">
        <v>895</v>
      </c>
      <c r="J344" s="5"/>
    </row>
    <row r="345" ht="15.75" customHeight="1">
      <c r="A345" s="19">
        <v>45184.0</v>
      </c>
      <c r="B345" s="7" t="str">
        <f>HYPERLINK("http://fdnweb.org/eppley/","Eppley Foundation")</f>
        <v>Eppley Foundation</v>
      </c>
      <c r="C345" s="8" t="s">
        <v>16</v>
      </c>
      <c r="D345" s="7" t="s">
        <v>896</v>
      </c>
      <c r="E345" s="18" t="s">
        <v>77</v>
      </c>
      <c r="F345" s="9" t="s">
        <v>90</v>
      </c>
      <c r="G345" s="9"/>
      <c r="H345" s="9" t="s">
        <v>897</v>
      </c>
      <c r="I345" s="16" t="s">
        <v>898</v>
      </c>
      <c r="J345" s="5"/>
    </row>
    <row r="346" ht="15.75" customHeight="1">
      <c r="A346" s="19">
        <v>45184.0</v>
      </c>
      <c r="B346" s="7" t="str">
        <f t="shared" ref="B346:B348" si="23">HYPERLINK("https://www.nsf.gov/","National Science Foundation")</f>
        <v>National Science Foundation</v>
      </c>
      <c r="C346" s="8" t="s">
        <v>41</v>
      </c>
      <c r="D346" s="13" t="s">
        <v>899</v>
      </c>
      <c r="E346" s="18" t="s">
        <v>82</v>
      </c>
      <c r="F346" s="9" t="s">
        <v>90</v>
      </c>
      <c r="G346" s="9"/>
      <c r="H346" s="9"/>
      <c r="I346" s="27" t="s">
        <v>900</v>
      </c>
      <c r="J346" s="5"/>
    </row>
    <row r="347" ht="15.75" customHeight="1">
      <c r="A347" s="6" t="s">
        <v>823</v>
      </c>
      <c r="B347" s="7" t="str">
        <f t="shared" si="23"/>
        <v>National Science Foundation</v>
      </c>
      <c r="C347" s="8" t="s">
        <v>41</v>
      </c>
      <c r="D347" s="31" t="str">
        <f>HYPERLINK("https://www.nsf.gov/funding/pgm_summ.jsp?pims_id=504687","Computational and Data-Enabled Science and Engineering in Mathematical and Statistical Sciences  (CDS&amp;E-MSS)")</f>
        <v>Computational and Data-Enabled Science and Engineering in Mathematical and Statistical Sciences  (CDS&amp;E-MSS)</v>
      </c>
      <c r="E347" s="18" t="s">
        <v>106</v>
      </c>
      <c r="F347" s="9" t="s">
        <v>90</v>
      </c>
      <c r="G347" s="9"/>
      <c r="H347" s="9"/>
      <c r="I347" s="27" t="s">
        <v>901</v>
      </c>
      <c r="J347" s="5"/>
    </row>
    <row r="348" ht="15.75" customHeight="1">
      <c r="A348" s="19">
        <v>44454.0</v>
      </c>
      <c r="B348" s="7" t="str">
        <f t="shared" si="23"/>
        <v>National Science Foundation</v>
      </c>
      <c r="C348" s="8" t="s">
        <v>41</v>
      </c>
      <c r="D348" s="7" t="str">
        <f>HYPERLINK("https://www.nsf.gov/funding/pgm_summ.jsp?pims_id=504813","Computational and Data-Enabled Science and Engineering Division of Chemistry - Chemical Measurement and Imaging")</f>
        <v>Computational and Data-Enabled Science and Engineering Division of Chemistry - Chemical Measurement and Imaging</v>
      </c>
      <c r="E348" s="18" t="s">
        <v>648</v>
      </c>
      <c r="F348" s="9"/>
      <c r="G348" s="9"/>
      <c r="H348" s="86"/>
      <c r="I348" s="73" t="s">
        <v>902</v>
      </c>
      <c r="J348" s="5"/>
    </row>
    <row r="349" ht="15.75" customHeight="1">
      <c r="A349" s="19">
        <v>45184.0</v>
      </c>
      <c r="B349" s="7" t="s">
        <v>124</v>
      </c>
      <c r="C349" s="8" t="s">
        <v>41</v>
      </c>
      <c r="D349" s="22" t="s">
        <v>903</v>
      </c>
      <c r="E349" s="18" t="s">
        <v>648</v>
      </c>
      <c r="F349" s="9"/>
      <c r="G349" s="9"/>
      <c r="H349" s="9"/>
      <c r="I349" s="73" t="s">
        <v>904</v>
      </c>
      <c r="J349" s="5"/>
    </row>
    <row r="350" ht="15.75" hidden="1" customHeight="1">
      <c r="A350" s="21">
        <v>44365.0</v>
      </c>
      <c r="B350" s="7" t="str">
        <f>HYPERLINK("https://www.srf.org/","Smith Richardson Foundation")</f>
        <v>Smith Richardson Foundation</v>
      </c>
      <c r="C350" s="8" t="s">
        <v>16</v>
      </c>
      <c r="D350" s="7" t="str">
        <f>HYPERLINK("https://www.srf.org/programs/international-security-foreign-policy/strategy-policy-fellows-program/","Strategy and Policy Fellows")</f>
        <v>Strategy and Policy Fellows</v>
      </c>
      <c r="E350" s="18" t="s">
        <v>394</v>
      </c>
      <c r="F350" s="9" t="s">
        <v>87</v>
      </c>
      <c r="G350" s="9"/>
      <c r="H350" s="23">
        <v>60000.0</v>
      </c>
      <c r="I350" s="27" t="s">
        <v>905</v>
      </c>
      <c r="J350" s="5"/>
    </row>
    <row r="351" ht="15.75" customHeight="1">
      <c r="A351" s="19">
        <v>44454.0</v>
      </c>
      <c r="B351" s="13" t="s">
        <v>906</v>
      </c>
      <c r="C351" s="8" t="s">
        <v>16</v>
      </c>
      <c r="D351" s="7" t="s">
        <v>907</v>
      </c>
      <c r="E351" s="18" t="s">
        <v>194</v>
      </c>
      <c r="F351" s="9" t="s">
        <v>138</v>
      </c>
      <c r="G351" s="9"/>
      <c r="H351" s="9"/>
      <c r="I351" s="27" t="s">
        <v>908</v>
      </c>
      <c r="J351" s="5"/>
    </row>
    <row r="352" ht="15.75" customHeight="1">
      <c r="A352" s="12">
        <v>45031.0</v>
      </c>
      <c r="B352" s="13" t="s">
        <v>909</v>
      </c>
      <c r="C352" s="14" t="s">
        <v>16</v>
      </c>
      <c r="D352" s="13" t="s">
        <v>910</v>
      </c>
      <c r="E352" s="6" t="s">
        <v>77</v>
      </c>
      <c r="F352" s="50" t="s">
        <v>66</v>
      </c>
      <c r="G352" s="50"/>
      <c r="H352" s="50" t="s">
        <v>911</v>
      </c>
      <c r="I352" s="16" t="s">
        <v>912</v>
      </c>
      <c r="J352" s="5"/>
    </row>
    <row r="353" ht="15.75" customHeight="1">
      <c r="A353" s="12">
        <v>45184.0</v>
      </c>
      <c r="B353" s="13" t="s">
        <v>885</v>
      </c>
      <c r="C353" s="14" t="s">
        <v>41</v>
      </c>
      <c r="D353" s="13" t="s">
        <v>913</v>
      </c>
      <c r="E353" s="6" t="s">
        <v>914</v>
      </c>
      <c r="F353" s="50" t="s">
        <v>66</v>
      </c>
      <c r="G353" s="50"/>
      <c r="H353" s="9"/>
      <c r="I353" s="16" t="s">
        <v>915</v>
      </c>
      <c r="J353" s="5"/>
    </row>
    <row r="354" ht="15.75" customHeight="1">
      <c r="A354" s="12">
        <v>45184.0</v>
      </c>
      <c r="B354" s="13" t="s">
        <v>885</v>
      </c>
      <c r="C354" s="14" t="s">
        <v>41</v>
      </c>
      <c r="D354" s="13" t="s">
        <v>916</v>
      </c>
      <c r="E354" s="6" t="s">
        <v>655</v>
      </c>
      <c r="F354" s="50" t="s">
        <v>66</v>
      </c>
      <c r="G354" s="50"/>
      <c r="H354" s="9"/>
      <c r="I354" s="16" t="s">
        <v>917</v>
      </c>
      <c r="J354" s="5"/>
    </row>
    <row r="355" ht="15.75" customHeight="1">
      <c r="A355" s="12">
        <v>45184.0</v>
      </c>
      <c r="B355" s="13" t="s">
        <v>885</v>
      </c>
      <c r="C355" s="8" t="s">
        <v>41</v>
      </c>
      <c r="D355" s="13" t="s">
        <v>918</v>
      </c>
      <c r="E355" s="18" t="s">
        <v>708</v>
      </c>
      <c r="F355" s="9" t="s">
        <v>34</v>
      </c>
      <c r="G355" s="50" t="s">
        <v>919</v>
      </c>
      <c r="H355" s="9"/>
      <c r="I355" s="16" t="s">
        <v>920</v>
      </c>
      <c r="J355" s="5"/>
    </row>
    <row r="356" ht="15.75" customHeight="1">
      <c r="A356" s="19">
        <v>44454.0</v>
      </c>
      <c r="B356" s="13" t="s">
        <v>921</v>
      </c>
      <c r="C356" s="14" t="s">
        <v>16</v>
      </c>
      <c r="D356" s="22" t="s">
        <v>922</v>
      </c>
      <c r="E356" s="6" t="s">
        <v>923</v>
      </c>
      <c r="F356" s="50" t="s">
        <v>924</v>
      </c>
      <c r="G356" s="9"/>
      <c r="H356" s="9"/>
      <c r="I356" s="16" t="s">
        <v>925</v>
      </c>
      <c r="J356" s="5"/>
    </row>
    <row r="357" ht="15.75" customHeight="1">
      <c r="A357" s="19">
        <v>44620.0</v>
      </c>
      <c r="B357" s="13" t="s">
        <v>926</v>
      </c>
      <c r="C357" s="14" t="s">
        <v>16</v>
      </c>
      <c r="D357" s="13" t="s">
        <v>927</v>
      </c>
      <c r="E357" s="18"/>
      <c r="F357" s="9"/>
      <c r="G357" s="9"/>
      <c r="H357" s="9"/>
      <c r="I357" s="99" t="s">
        <v>928</v>
      </c>
      <c r="J357" s="5"/>
    </row>
    <row r="358" ht="15.75" customHeight="1">
      <c r="A358" s="6" t="s">
        <v>823</v>
      </c>
      <c r="B358" s="7" t="s">
        <v>124</v>
      </c>
      <c r="C358" s="8" t="s">
        <v>41</v>
      </c>
      <c r="D358" s="7" t="s">
        <v>929</v>
      </c>
      <c r="E358" s="18" t="s">
        <v>648</v>
      </c>
      <c r="F358" s="9"/>
      <c r="G358" s="9"/>
      <c r="H358" s="9"/>
      <c r="I358" s="16" t="s">
        <v>930</v>
      </c>
      <c r="J358" s="5"/>
    </row>
    <row r="359" ht="15.75" customHeight="1">
      <c r="A359" s="19">
        <v>45230.0</v>
      </c>
      <c r="B359" s="7" t="str">
        <f>HYPERLINK("http://societyhumanities.as.cornell.edu/","Society for the Humanities at Cornell University")</f>
        <v>Society for the Humanities at Cornell University</v>
      </c>
      <c r="C359" s="8" t="s">
        <v>10</v>
      </c>
      <c r="D359" s="7" t="str">
        <f>HYPERLINK("http://societyhumanities.as.cornell.edu/society-fellowships","Society Fellowships")</f>
        <v>Society Fellowships</v>
      </c>
      <c r="E359" s="18" t="s">
        <v>128</v>
      </c>
      <c r="F359" s="9" t="s">
        <v>34</v>
      </c>
      <c r="G359" s="9"/>
      <c r="H359" s="23">
        <v>52000.0</v>
      </c>
      <c r="I359" s="16" t="s">
        <v>931</v>
      </c>
      <c r="J359" s="5"/>
    </row>
    <row r="360" ht="15.75" customHeight="1">
      <c r="A360" s="19">
        <v>45189.0</v>
      </c>
      <c r="B360" s="13" t="s">
        <v>40</v>
      </c>
      <c r="C360" s="14" t="s">
        <v>41</v>
      </c>
      <c r="D360" s="13" t="s">
        <v>932</v>
      </c>
      <c r="E360" s="6" t="s">
        <v>128</v>
      </c>
      <c r="F360" s="18"/>
      <c r="G360" s="9"/>
      <c r="H360" s="100">
        <v>6000.0</v>
      </c>
      <c r="I360" s="16" t="s">
        <v>933</v>
      </c>
      <c r="J360" s="5"/>
    </row>
    <row r="361" ht="15.75" customHeight="1">
      <c r="A361" s="19">
        <v>44463.0</v>
      </c>
      <c r="B361" s="7" t="str">
        <f>HYPERLINK("https://www.nypl.org/","New York Public Library")</f>
        <v>New York Public Library</v>
      </c>
      <c r="C361" s="8" t="s">
        <v>49</v>
      </c>
      <c r="D361" s="7" t="str">
        <f>HYPERLINK("https://www.nypl.org/help/about-nypl/fellowships-institutes/center-for-scholars-and-writers/fellowships-at-the-cullman-center","Fellowship for Scholars and Writers")</f>
        <v>Fellowship for Scholars and Writers</v>
      </c>
      <c r="E361" s="18" t="s">
        <v>128</v>
      </c>
      <c r="F361" s="18" t="s">
        <v>34</v>
      </c>
      <c r="G361" s="9"/>
      <c r="H361" s="9" t="s">
        <v>934</v>
      </c>
      <c r="I361" s="16" t="s">
        <v>935</v>
      </c>
      <c r="J361" s="5"/>
    </row>
    <row r="362" ht="15.75" customHeight="1">
      <c r="A362" s="19">
        <v>44464.0</v>
      </c>
      <c r="B362" s="7" t="str">
        <f t="shared" ref="B362:B363" si="24">HYPERLINK("https://www.nih.gov/","National Institutes of Health")</f>
        <v>National Institutes of Health</v>
      </c>
      <c r="C362" s="8" t="s">
        <v>41</v>
      </c>
      <c r="D362" s="7" t="str">
        <f>HYPERLINK("https://www.nhlbi.nih.gov/grants-and-training/policies-and-guidelines/research-dissemination-and-implementation-r18-grants","Research Dissemination and Implementation (R18) Grants")</f>
        <v>Research Dissemination and Implementation (R18) Grants</v>
      </c>
      <c r="E362" s="18" t="s">
        <v>77</v>
      </c>
      <c r="F362" s="9" t="s">
        <v>90</v>
      </c>
      <c r="G362" s="9"/>
      <c r="H362" s="9"/>
      <c r="I362" s="27" t="s">
        <v>936</v>
      </c>
      <c r="J362" s="5"/>
    </row>
    <row r="363" ht="15.75" customHeight="1">
      <c r="A363" s="19">
        <v>45194.0</v>
      </c>
      <c r="B363" s="7" t="str">
        <f t="shared" si="24"/>
        <v>National Institutes of Health</v>
      </c>
      <c r="C363" s="8" t="s">
        <v>41</v>
      </c>
      <c r="D363" s="7" t="str">
        <f>HYPERLINK("https://researchtraining.nih.gov/programs/research-education/R25","Research Education Program R25 Grants")</f>
        <v>Research Education Program R25 Grants</v>
      </c>
      <c r="E363" s="18" t="s">
        <v>77</v>
      </c>
      <c r="F363" s="9" t="s">
        <v>90</v>
      </c>
      <c r="G363" s="9"/>
      <c r="H363" s="9"/>
      <c r="I363" s="16" t="s">
        <v>937</v>
      </c>
      <c r="J363" s="5"/>
    </row>
    <row r="364" ht="15.75" customHeight="1">
      <c r="A364" s="19">
        <v>45202.0</v>
      </c>
      <c r="B364" s="7" t="str">
        <f>HYPERLINK("https://ndias.nd.edu/","Notre Dame Institute for Advanced Study")</f>
        <v>Notre Dame Institute for Advanced Study</v>
      </c>
      <c r="C364" s="8" t="s">
        <v>10</v>
      </c>
      <c r="D364" s="7" t="s">
        <v>938</v>
      </c>
      <c r="E364" s="18" t="s">
        <v>45</v>
      </c>
      <c r="F364" s="9" t="s">
        <v>34</v>
      </c>
      <c r="G364" s="9"/>
      <c r="H364" s="9" t="s">
        <v>939</v>
      </c>
      <c r="I364" s="16" t="s">
        <v>940</v>
      </c>
      <c r="J364" s="5"/>
    </row>
    <row r="365" ht="15.75" customHeight="1">
      <c r="A365" s="19">
        <v>44466.0</v>
      </c>
      <c r="B365" s="7" t="str">
        <f>HYPERLINK("http://www.americanacademy.de","American Academy in Berlin")</f>
        <v>American Academy in Berlin</v>
      </c>
      <c r="C365" s="8" t="s">
        <v>10</v>
      </c>
      <c r="D365" s="7" t="s">
        <v>941</v>
      </c>
      <c r="E365" s="18" t="s">
        <v>45</v>
      </c>
      <c r="F365" s="9" t="s">
        <v>34</v>
      </c>
      <c r="G365" s="9"/>
      <c r="H365" s="9" t="s">
        <v>942</v>
      </c>
      <c r="I365" s="16" t="s">
        <v>943</v>
      </c>
      <c r="J365" s="5"/>
    </row>
    <row r="366" ht="15.75" customHeight="1">
      <c r="A366" s="19">
        <v>44466.0</v>
      </c>
      <c r="B366" s="13" t="s">
        <v>944</v>
      </c>
      <c r="C366" s="14" t="s">
        <v>10</v>
      </c>
      <c r="D366" s="13" t="s">
        <v>945</v>
      </c>
      <c r="E366" s="6" t="s">
        <v>45</v>
      </c>
      <c r="F366" s="50" t="s">
        <v>66</v>
      </c>
      <c r="G366" s="9"/>
      <c r="H366" s="50" t="s">
        <v>946</v>
      </c>
      <c r="I366" s="16" t="s">
        <v>947</v>
      </c>
      <c r="J366" s="5"/>
    </row>
    <row r="367" ht="15.75" customHeight="1">
      <c r="A367" s="19">
        <v>45194.0</v>
      </c>
      <c r="B367" s="7" t="str">
        <f>HYPERLINK("https://www.nsf.gov/","National Science Foundation")</f>
        <v>National Science Foundation</v>
      </c>
      <c r="C367" s="8" t="s">
        <v>41</v>
      </c>
      <c r="D367" s="7" t="str">
        <f>HYPERLINK("https://www.nsf.gov/funding/pgm_summ.jsp?pims_id=5555","Probability")</f>
        <v>Probability</v>
      </c>
      <c r="E367" s="18" t="s">
        <v>106</v>
      </c>
      <c r="F367" s="9" t="s">
        <v>90</v>
      </c>
      <c r="G367" s="9"/>
      <c r="H367" s="50"/>
      <c r="I367" s="27" t="s">
        <v>948</v>
      </c>
      <c r="J367" s="5"/>
    </row>
    <row r="368" ht="15.75" customHeight="1">
      <c r="A368" s="19">
        <v>44467.0</v>
      </c>
      <c r="B368" s="7" t="str">
        <f t="shared" ref="B368:B369" si="25">HYPERLINK("https://www.simonsfoundation.org/","Simons Foundation")</f>
        <v>Simons Foundation</v>
      </c>
      <c r="C368" s="8" t="s">
        <v>16</v>
      </c>
      <c r="D368" s="17" t="s">
        <v>949</v>
      </c>
      <c r="E368" s="18" t="s">
        <v>106</v>
      </c>
      <c r="F368" s="9" t="s">
        <v>107</v>
      </c>
      <c r="G368" s="9"/>
      <c r="H368" s="9" t="s">
        <v>950</v>
      </c>
      <c r="I368" s="16" t="s">
        <v>951</v>
      </c>
      <c r="J368" s="5"/>
    </row>
    <row r="369" ht="15.75" customHeight="1">
      <c r="A369" s="19">
        <v>44467.0</v>
      </c>
      <c r="B369" s="7" t="str">
        <f t="shared" si="25"/>
        <v>Simons Foundation</v>
      </c>
      <c r="C369" s="8" t="s">
        <v>16</v>
      </c>
      <c r="D369" s="17" t="s">
        <v>952</v>
      </c>
      <c r="E369" s="18" t="s">
        <v>106</v>
      </c>
      <c r="F369" s="9" t="s">
        <v>107</v>
      </c>
      <c r="G369" s="9"/>
      <c r="H369" s="9" t="s">
        <v>953</v>
      </c>
      <c r="I369" s="16" t="s">
        <v>954</v>
      </c>
      <c r="J369" s="5"/>
    </row>
    <row r="370" ht="15.75" customHeight="1">
      <c r="A370" s="19">
        <v>45195.0</v>
      </c>
      <c r="B370" s="7" t="str">
        <f>HYPERLINK("https://www.nsf.gov/","National Science Foundation")</f>
        <v>National Science Foundation</v>
      </c>
      <c r="C370" s="8" t="s">
        <v>41</v>
      </c>
      <c r="D370" s="7" t="str">
        <f>HYPERLINK("https://www.nsf.gov/funding/pgm_summ.jsp?pims_id=503570","Combinatorics")</f>
        <v>Combinatorics</v>
      </c>
      <c r="E370" s="18" t="s">
        <v>106</v>
      </c>
      <c r="F370" s="9" t="s">
        <v>90</v>
      </c>
      <c r="G370" s="9"/>
      <c r="H370" s="9"/>
      <c r="I370" s="27" t="s">
        <v>955</v>
      </c>
      <c r="J370" s="5"/>
    </row>
    <row r="371" ht="15.75" customHeight="1">
      <c r="A371" s="19">
        <v>45063.0</v>
      </c>
      <c r="B371" s="13" t="s">
        <v>40</v>
      </c>
      <c r="C371" s="14" t="s">
        <v>41</v>
      </c>
      <c r="D371" s="13" t="s">
        <v>956</v>
      </c>
      <c r="E371" s="6" t="s">
        <v>128</v>
      </c>
      <c r="F371" s="50" t="s">
        <v>138</v>
      </c>
      <c r="G371" s="9"/>
      <c r="H371" s="9"/>
      <c r="I371" s="16" t="s">
        <v>957</v>
      </c>
      <c r="J371" s="5"/>
    </row>
    <row r="372" ht="15.75" customHeight="1">
      <c r="A372" s="19">
        <v>45195.0</v>
      </c>
      <c r="B372" s="7" t="str">
        <f>HYPERLINK("https://www.nsf.gov/","National Science Foundation")</f>
        <v>National Science Foundation</v>
      </c>
      <c r="C372" s="8" t="s">
        <v>41</v>
      </c>
      <c r="D372" s="7" t="str">
        <f>HYPERLINK("https://www.nsf.gov/funding/pgm_summ.jsp?pims_id=5548","Foundations")</f>
        <v>Foundations</v>
      </c>
      <c r="E372" s="18" t="s">
        <v>106</v>
      </c>
      <c r="F372" s="9" t="s">
        <v>90</v>
      </c>
      <c r="G372" s="9"/>
      <c r="H372" s="9"/>
      <c r="I372" s="27" t="s">
        <v>958</v>
      </c>
      <c r="J372" s="5"/>
    </row>
    <row r="373" ht="15.75" customHeight="1">
      <c r="A373" s="12">
        <v>44468.0</v>
      </c>
      <c r="B373" s="7" t="str">
        <f>HYPERLINK("https://www.acls.org/","American Council of Learned Societies")</f>
        <v>American Council of Learned Societies</v>
      </c>
      <c r="C373" s="8" t="s">
        <v>16</v>
      </c>
      <c r="D373" s="7" t="str">
        <f>HYPERLINK("https://www.acls.org/programs/acls/","ACLS Fellowships")</f>
        <v>ACLS Fellowships</v>
      </c>
      <c r="E373" s="18" t="s">
        <v>45</v>
      </c>
      <c r="F373" s="9" t="s">
        <v>66</v>
      </c>
      <c r="G373" s="9" t="s">
        <v>959</v>
      </c>
      <c r="H373" s="9" t="s">
        <v>960</v>
      </c>
      <c r="I373" s="16" t="s">
        <v>961</v>
      </c>
      <c r="J373" s="5"/>
    </row>
    <row r="374" ht="15.75" customHeight="1">
      <c r="A374" s="19">
        <v>44469.0</v>
      </c>
      <c r="B374" s="7" t="str">
        <f>HYPERLINK("https://www.sqcc.org/","Sultan Qaboos Cultural Center")</f>
        <v>Sultan Qaboos Cultural Center</v>
      </c>
      <c r="C374" s="8" t="s">
        <v>16</v>
      </c>
      <c r="D374" s="7" t="str">
        <f>HYPERLINK("http://www.sqcc.org/Scholarships-0024-Fellowships/Research-Fellowship-Program.aspx","Sultan Qaboos Cultural Center’s Research Fellowship")</f>
        <v>Sultan Qaboos Cultural Center’s Research Fellowship</v>
      </c>
      <c r="E374" s="18" t="s">
        <v>55</v>
      </c>
      <c r="F374" s="9" t="s">
        <v>34</v>
      </c>
      <c r="G374" s="9"/>
      <c r="H374" s="9" t="s">
        <v>962</v>
      </c>
      <c r="I374" s="16" t="s">
        <v>963</v>
      </c>
      <c r="J374" s="5"/>
    </row>
    <row r="375" ht="15.75" customHeight="1">
      <c r="A375" s="19">
        <v>44469.0</v>
      </c>
      <c r="B375" s="17" t="s">
        <v>964</v>
      </c>
      <c r="C375" s="8" t="s">
        <v>16</v>
      </c>
      <c r="D375" s="7" t="s">
        <v>964</v>
      </c>
      <c r="E375" s="18" t="s">
        <v>77</v>
      </c>
      <c r="F375" s="15" t="s">
        <v>90</v>
      </c>
      <c r="G375" s="15" t="s">
        <v>72</v>
      </c>
      <c r="H375" s="9" t="s">
        <v>965</v>
      </c>
      <c r="I375" s="16" t="s">
        <v>966</v>
      </c>
      <c r="J375" s="5"/>
    </row>
    <row r="376" ht="15.75" customHeight="1">
      <c r="A376" s="19">
        <v>45206.0</v>
      </c>
      <c r="B376" s="7" t="str">
        <f>HYPERLINK("https://www.psychiatry.org","American Psychiatric Association")</f>
        <v>American Psychiatric Association</v>
      </c>
      <c r="C376" s="8" t="s">
        <v>16</v>
      </c>
      <c r="D376" s="7" t="s">
        <v>967</v>
      </c>
      <c r="E376" s="18" t="s">
        <v>194</v>
      </c>
      <c r="F376" s="9" t="s">
        <v>138</v>
      </c>
      <c r="G376" s="9"/>
      <c r="H376" s="9"/>
      <c r="I376" s="27" t="s">
        <v>968</v>
      </c>
      <c r="J376" s="5"/>
    </row>
    <row r="377" ht="15.75" customHeight="1">
      <c r="A377" s="19">
        <v>45199.0</v>
      </c>
      <c r="B377" s="7" t="s">
        <v>124</v>
      </c>
      <c r="C377" s="8" t="s">
        <v>41</v>
      </c>
      <c r="D377" s="7" t="str">
        <f>HYPERLINK("https://www.nsf.gov/funding/pgm_summ.jsp?pims_id=505667","Computing and Communication Foundation programs")</f>
        <v>Computing and Communication Foundation programs</v>
      </c>
      <c r="E377" s="18" t="s">
        <v>77</v>
      </c>
      <c r="F377" s="9" t="s">
        <v>90</v>
      </c>
      <c r="G377" s="9"/>
      <c r="H377" s="9" t="s">
        <v>969</v>
      </c>
      <c r="I377" s="16" t="s">
        <v>970</v>
      </c>
      <c r="J377" s="5"/>
    </row>
    <row r="378" ht="15.75" customHeight="1">
      <c r="A378" s="19">
        <v>45199.0</v>
      </c>
      <c r="B378" s="7" t="s">
        <v>124</v>
      </c>
      <c r="C378" s="8" t="s">
        <v>41</v>
      </c>
      <c r="D378" s="7" t="s">
        <v>971</v>
      </c>
      <c r="E378" s="18" t="s">
        <v>77</v>
      </c>
      <c r="F378" s="9" t="s">
        <v>90</v>
      </c>
      <c r="G378" s="9"/>
      <c r="H378" s="9" t="s">
        <v>969</v>
      </c>
      <c r="I378" s="16" t="s">
        <v>972</v>
      </c>
      <c r="J378" s="5"/>
    </row>
    <row r="379" ht="15.75" customHeight="1">
      <c r="A379" s="28">
        <v>45199.0</v>
      </c>
      <c r="B379" s="7" t="s">
        <v>124</v>
      </c>
      <c r="C379" s="8" t="s">
        <v>41</v>
      </c>
      <c r="D379" s="7" t="str">
        <f>HYPERLINK("https://www.nsf.gov/funding/pgm_summ.jsp?pims_id=505667","Information and intelligent Systems")</f>
        <v>Information and intelligent Systems</v>
      </c>
      <c r="E379" s="18" t="s">
        <v>77</v>
      </c>
      <c r="F379" s="9" t="s">
        <v>90</v>
      </c>
      <c r="G379" s="9"/>
      <c r="H379" s="9" t="s">
        <v>969</v>
      </c>
      <c r="I379" s="16" t="s">
        <v>973</v>
      </c>
      <c r="J379" s="5"/>
    </row>
    <row r="380" ht="15.75" customHeight="1">
      <c r="A380" s="19">
        <v>45214.0</v>
      </c>
      <c r="B380" s="7" t="str">
        <f t="shared" ref="B380:B381" si="26">HYPERLINK("http://www.apa.org/apf/","American Psychological Association")</f>
        <v>American Psychological Association</v>
      </c>
      <c r="C380" s="14" t="s">
        <v>16</v>
      </c>
      <c r="D380" s="13" t="s">
        <v>974</v>
      </c>
      <c r="E380" s="6" t="s">
        <v>474</v>
      </c>
      <c r="F380" s="9"/>
      <c r="G380" s="9"/>
      <c r="H380" s="23"/>
      <c r="I380" s="16" t="s">
        <v>975</v>
      </c>
      <c r="J380" s="5"/>
    </row>
    <row r="381" ht="15.75" customHeight="1">
      <c r="A381" s="19">
        <v>45199.0</v>
      </c>
      <c r="B381" s="7" t="str">
        <f t="shared" si="26"/>
        <v>American Psychological Association</v>
      </c>
      <c r="C381" s="8" t="s">
        <v>16</v>
      </c>
      <c r="D381" s="7" t="s">
        <v>976</v>
      </c>
      <c r="E381" s="18" t="s">
        <v>194</v>
      </c>
      <c r="F381" s="9" t="s">
        <v>110</v>
      </c>
      <c r="G381" s="9"/>
      <c r="H381" s="23">
        <v>2000.0</v>
      </c>
      <c r="I381" s="27" t="s">
        <v>977</v>
      </c>
      <c r="J381" s="5"/>
    </row>
    <row r="382" ht="15.75" customHeight="1">
      <c r="A382" s="19">
        <v>45199.0</v>
      </c>
      <c r="B382" s="7" t="str">
        <f t="shared" ref="B382:B383" si="27">HYPERLINK("https://www.nsf.gov/","National Science Foundation")</f>
        <v>National Science Foundation</v>
      </c>
      <c r="C382" s="8" t="s">
        <v>41</v>
      </c>
      <c r="D382" s="22" t="s">
        <v>978</v>
      </c>
      <c r="E382" s="18" t="s">
        <v>399</v>
      </c>
      <c r="F382" s="9" t="s">
        <v>477</v>
      </c>
      <c r="G382" s="9"/>
      <c r="H382" s="9"/>
      <c r="I382" s="27" t="s">
        <v>979</v>
      </c>
      <c r="J382" s="5"/>
    </row>
    <row r="383" ht="15.75" customHeight="1">
      <c r="A383" s="19">
        <v>45201.0</v>
      </c>
      <c r="B383" s="7" t="str">
        <f t="shared" si="27"/>
        <v>National Science Foundation</v>
      </c>
      <c r="C383" s="8" t="s">
        <v>41</v>
      </c>
      <c r="D383" s="13" t="s">
        <v>980</v>
      </c>
      <c r="E383" s="18" t="s">
        <v>106</v>
      </c>
      <c r="F383" s="9" t="s">
        <v>90</v>
      </c>
      <c r="G383" s="9"/>
      <c r="H383" s="9"/>
      <c r="I383" s="27" t="s">
        <v>981</v>
      </c>
      <c r="J383" s="5"/>
    </row>
    <row r="384" ht="15.75" customHeight="1">
      <c r="A384" s="19">
        <v>45200.0</v>
      </c>
      <c r="B384" s="13" t="s">
        <v>982</v>
      </c>
      <c r="C384" s="14" t="s">
        <v>49</v>
      </c>
      <c r="D384" s="13" t="s">
        <v>217</v>
      </c>
      <c r="E384" s="6" t="s">
        <v>43</v>
      </c>
      <c r="F384" s="9"/>
      <c r="G384" s="9"/>
      <c r="H384" s="9"/>
      <c r="I384" s="16" t="s">
        <v>983</v>
      </c>
      <c r="J384" s="5"/>
    </row>
    <row r="385" ht="15.75" customHeight="1">
      <c r="A385" s="19">
        <v>44470.0</v>
      </c>
      <c r="B385" s="7" t="str">
        <f>HYPERLINK("https://kellogg.nd.edu/","Kellogg Institute, University of Notre Dame")</f>
        <v>Kellogg Institute, University of Notre Dame</v>
      </c>
      <c r="C385" s="8" t="s">
        <v>10</v>
      </c>
      <c r="D385" s="7" t="s">
        <v>984</v>
      </c>
      <c r="E385" s="18" t="s">
        <v>43</v>
      </c>
      <c r="F385" s="9" t="s">
        <v>301</v>
      </c>
      <c r="G385" s="9"/>
      <c r="H385" s="9" t="s">
        <v>985</v>
      </c>
      <c r="I385" s="16" t="s">
        <v>986</v>
      </c>
      <c r="J385" s="5"/>
    </row>
    <row r="386" ht="15.75" customHeight="1">
      <c r="A386" s="19">
        <v>44470.0</v>
      </c>
      <c r="B386" s="7" t="str">
        <f>HYPERLINK("http://camargofoundation.org/","Camargo Foundation")</f>
        <v>Camargo Foundation</v>
      </c>
      <c r="C386" s="8" t="s">
        <v>16</v>
      </c>
      <c r="D386" s="68" t="str">
        <f>HYPERLINK("http://camargofoundation.org/programs/camargo-core-program/","Core Program in Cassis, France")</f>
        <v>Core Program in Cassis, France</v>
      </c>
      <c r="E386" s="18" t="s">
        <v>45</v>
      </c>
      <c r="F386" s="18" t="s">
        <v>34</v>
      </c>
      <c r="G386" s="18"/>
      <c r="H386" s="18" t="s">
        <v>987</v>
      </c>
      <c r="I386" s="11" t="s">
        <v>988</v>
      </c>
      <c r="J386" s="5"/>
    </row>
    <row r="387" ht="15.75" customHeight="1">
      <c r="A387" s="19">
        <v>44470.0</v>
      </c>
      <c r="B387" s="13" t="s">
        <v>989</v>
      </c>
      <c r="C387" s="14" t="s">
        <v>16</v>
      </c>
      <c r="D387" s="13" t="s">
        <v>990</v>
      </c>
      <c r="E387" s="6" t="s">
        <v>655</v>
      </c>
      <c r="F387" s="50" t="s">
        <v>299</v>
      </c>
      <c r="G387" s="9"/>
      <c r="H387" s="9"/>
      <c r="I387" s="16" t="s">
        <v>991</v>
      </c>
      <c r="J387" s="5"/>
    </row>
    <row r="388" ht="15.75" customHeight="1">
      <c r="A388" s="19">
        <v>45061.0</v>
      </c>
      <c r="B388" s="13" t="s">
        <v>992</v>
      </c>
      <c r="C388" s="14" t="s">
        <v>16</v>
      </c>
      <c r="D388" s="13" t="s">
        <v>993</v>
      </c>
      <c r="E388" s="6" t="s">
        <v>655</v>
      </c>
      <c r="F388" s="50" t="s">
        <v>90</v>
      </c>
      <c r="G388" s="9"/>
      <c r="H388" s="9"/>
      <c r="I388" s="16" t="s">
        <v>994</v>
      </c>
      <c r="J388" s="5"/>
    </row>
    <row r="389" ht="15.75" customHeight="1">
      <c r="A389" s="6" t="s">
        <v>995</v>
      </c>
      <c r="B389" s="7" t="str">
        <f>HYPERLINK("https://www.fordlibrarymuseum.gov/index.aspx","Gerald R. Ford Library")</f>
        <v>Gerald R. Ford Library</v>
      </c>
      <c r="C389" s="8" t="s">
        <v>49</v>
      </c>
      <c r="D389" s="7" t="s">
        <v>996</v>
      </c>
      <c r="E389" s="18" t="s">
        <v>328</v>
      </c>
      <c r="F389" s="9" t="s">
        <v>997</v>
      </c>
      <c r="G389" s="9"/>
      <c r="H389" s="9" t="s">
        <v>998</v>
      </c>
      <c r="I389" s="16" t="s">
        <v>999</v>
      </c>
      <c r="J389" s="5"/>
    </row>
    <row r="390" ht="15.75" customHeight="1">
      <c r="A390" s="19">
        <v>45016.0</v>
      </c>
      <c r="B390" s="7" t="str">
        <f>HYPERLINK("https://humanitiesny.org/","Humanities New York")</f>
        <v>Humanities New York</v>
      </c>
      <c r="C390" s="8" t="s">
        <v>41</v>
      </c>
      <c r="D390" s="17" t="s">
        <v>1000</v>
      </c>
      <c r="E390" s="18" t="s">
        <v>82</v>
      </c>
      <c r="F390" s="9" t="s">
        <v>1001</v>
      </c>
      <c r="G390" s="9"/>
      <c r="H390" s="77" t="s">
        <v>1002</v>
      </c>
      <c r="I390" s="27" t="s">
        <v>1003</v>
      </c>
      <c r="J390" s="5"/>
    </row>
    <row r="391" ht="15.75" customHeight="1">
      <c r="A391" s="19">
        <v>45200.0</v>
      </c>
      <c r="B391" s="13" t="s">
        <v>1004</v>
      </c>
      <c r="C391" s="14" t="s">
        <v>16</v>
      </c>
      <c r="D391" s="13" t="s">
        <v>330</v>
      </c>
      <c r="E391" s="6" t="s">
        <v>77</v>
      </c>
      <c r="F391" s="9"/>
      <c r="G391" s="9"/>
      <c r="H391" s="9"/>
      <c r="I391" s="16" t="s">
        <v>1005</v>
      </c>
      <c r="J391" s="5"/>
    </row>
    <row r="392" ht="15.75" customHeight="1">
      <c r="A392" s="19">
        <v>44470.0</v>
      </c>
      <c r="B392" s="7" t="str">
        <f>HYPERLINK("http://shc.stanford.edu/","Stanford Humanities Center")</f>
        <v>Stanford Humanities Center</v>
      </c>
      <c r="C392" s="8" t="s">
        <v>10</v>
      </c>
      <c r="D392" s="7" t="s">
        <v>1006</v>
      </c>
      <c r="E392" s="18" t="s">
        <v>128</v>
      </c>
      <c r="F392" s="9" t="s">
        <v>34</v>
      </c>
      <c r="G392" s="9"/>
      <c r="H392" s="9" t="s">
        <v>1007</v>
      </c>
      <c r="I392" s="16" t="s">
        <v>1008</v>
      </c>
      <c r="J392" s="5"/>
    </row>
    <row r="393" ht="15.75" customHeight="1">
      <c r="A393" s="19">
        <v>45200.0</v>
      </c>
      <c r="B393" s="7" t="str">
        <f>HYPERLINK("http://fdnweb.org/decoizart/","Sarah de Coizart Article TENTH Perpetual Charitable Trust")</f>
        <v>Sarah de Coizart Article TENTH Perpetual Charitable Trust</v>
      </c>
      <c r="C393" s="8" t="s">
        <v>1009</v>
      </c>
      <c r="D393" s="7" t="str">
        <f>HYPERLINK("http://fdnweb.org/decoizart/","Grants")</f>
        <v>Grants</v>
      </c>
      <c r="E393" s="18" t="s">
        <v>498</v>
      </c>
      <c r="F393" s="18" t="s">
        <v>477</v>
      </c>
      <c r="G393" s="10"/>
      <c r="H393" s="9" t="s">
        <v>1010</v>
      </c>
      <c r="I393" s="27" t="s">
        <v>1011</v>
      </c>
      <c r="J393" s="5"/>
    </row>
    <row r="394" ht="15.75" customHeight="1">
      <c r="A394" s="21">
        <v>44470.0</v>
      </c>
      <c r="B394" s="13" t="s">
        <v>1012</v>
      </c>
      <c r="C394" s="14" t="s">
        <v>16</v>
      </c>
      <c r="D394" s="13" t="s">
        <v>1013</v>
      </c>
      <c r="E394" s="6" t="s">
        <v>45</v>
      </c>
      <c r="F394" s="9"/>
      <c r="G394" s="9"/>
      <c r="H394" s="23"/>
      <c r="I394" s="16" t="s">
        <v>1014</v>
      </c>
      <c r="J394" s="5"/>
    </row>
    <row r="395" ht="15.75" customHeight="1">
      <c r="A395" s="21">
        <v>44470.0</v>
      </c>
      <c r="B395" s="7" t="str">
        <f>HYPERLINK("https://www.kettering.org/","Kettering Foundation")</f>
        <v>Kettering Foundation</v>
      </c>
      <c r="C395" s="8" t="s">
        <v>16</v>
      </c>
      <c r="D395" s="7" t="str">
        <f>HYPERLINK("https://www.kettering.org/shared-learning/katherine-w-fanning-residency-journalism-democracy","Katherine W. Fanning Residency in Journalism &amp; Democracy ")</f>
        <v>Katherine W. Fanning Residency in Journalism &amp; Democracy </v>
      </c>
      <c r="E395" s="18" t="s">
        <v>708</v>
      </c>
      <c r="F395" s="9" t="s">
        <v>301</v>
      </c>
      <c r="G395" s="9"/>
      <c r="H395" s="23" t="s">
        <v>1015</v>
      </c>
      <c r="I395" s="27" t="s">
        <v>1016</v>
      </c>
      <c r="J395" s="5"/>
    </row>
    <row r="396" ht="15.75" hidden="1" customHeight="1">
      <c r="A396" s="19">
        <v>44426.0</v>
      </c>
      <c r="B396" s="7" t="s">
        <v>124</v>
      </c>
      <c r="C396" s="8" t="s">
        <v>41</v>
      </c>
      <c r="D396" s="7" t="s">
        <v>1017</v>
      </c>
      <c r="E396" s="18" t="s">
        <v>394</v>
      </c>
      <c r="F396" s="18" t="s">
        <v>90</v>
      </c>
      <c r="G396" s="10"/>
      <c r="H396" s="9"/>
      <c r="I396" s="16" t="s">
        <v>1018</v>
      </c>
      <c r="J396" s="5"/>
    </row>
    <row r="397" ht="15.75" hidden="1" customHeight="1">
      <c r="A397" s="19">
        <v>44426.0</v>
      </c>
      <c r="B397" s="7" t="s">
        <v>124</v>
      </c>
      <c r="C397" s="8" t="s">
        <v>41</v>
      </c>
      <c r="D397" s="7" t="s">
        <v>1019</v>
      </c>
      <c r="E397" s="18" t="s">
        <v>394</v>
      </c>
      <c r="F397" s="18" t="s">
        <v>90</v>
      </c>
      <c r="G397" s="10"/>
      <c r="H397" s="9"/>
      <c r="I397" s="16" t="s">
        <v>1020</v>
      </c>
      <c r="J397" s="5"/>
    </row>
    <row r="398" ht="15.75" customHeight="1">
      <c r="A398" s="19">
        <v>45200.0</v>
      </c>
      <c r="B398" s="17" t="s">
        <v>1021</v>
      </c>
      <c r="C398" s="8" t="s">
        <v>41</v>
      </c>
      <c r="D398" s="22" t="s">
        <v>1022</v>
      </c>
      <c r="E398" s="18" t="s">
        <v>1023</v>
      </c>
      <c r="F398" s="9" t="s">
        <v>1024</v>
      </c>
      <c r="G398" s="9"/>
      <c r="H398" s="9" t="s">
        <v>831</v>
      </c>
      <c r="I398" s="27" t="s">
        <v>1025</v>
      </c>
      <c r="J398" s="5"/>
    </row>
    <row r="399" ht="15.75" customHeight="1">
      <c r="A399" s="19">
        <v>45200.0</v>
      </c>
      <c r="B399" s="7" t="str">
        <f t="shared" ref="B399:B400" si="28">HYPERLINK("http://www.asian-studies.org/","Association for Asian Studies")</f>
        <v>Association for Asian Studies</v>
      </c>
      <c r="C399" s="8" t="s">
        <v>16</v>
      </c>
      <c r="D399" s="7" t="str">
        <f>HYPERLINK("http://www.asian-studies.org/Grants-and-Awards/NEAC-Japan","AAS Northeast Asia Council Japan Studies Grants")</f>
        <v>AAS Northeast Asia Council Japan Studies Grants</v>
      </c>
      <c r="E399" s="18" t="s">
        <v>429</v>
      </c>
      <c r="F399" s="9" t="s">
        <v>221</v>
      </c>
      <c r="G399" s="9"/>
      <c r="H399" s="9" t="s">
        <v>1026</v>
      </c>
      <c r="I399" s="16" t="s">
        <v>1027</v>
      </c>
      <c r="J399" s="5"/>
    </row>
    <row r="400" ht="15.75" customHeight="1">
      <c r="A400" s="19">
        <v>45200.0</v>
      </c>
      <c r="B400" s="7" t="str">
        <f t="shared" si="28"/>
        <v>Association for Asian Studies</v>
      </c>
      <c r="C400" s="8" t="s">
        <v>16</v>
      </c>
      <c r="D400" s="7" t="str">
        <f>HYPERLINK("http://www.asian-studies.org/Grants-and-Awards/NEAC-Korea","AAS Northeast Asia Council Korean Studies Grants")</f>
        <v>AAS Northeast Asia Council Korean Studies Grants</v>
      </c>
      <c r="E400" s="18" t="s">
        <v>429</v>
      </c>
      <c r="F400" s="9" t="s">
        <v>90</v>
      </c>
      <c r="G400" s="9"/>
      <c r="H400" s="9" t="s">
        <v>1028</v>
      </c>
      <c r="I400" s="16" t="s">
        <v>1029</v>
      </c>
      <c r="J400" s="5"/>
    </row>
    <row r="401" ht="15.75" customHeight="1">
      <c r="A401" s="19">
        <v>44473.0</v>
      </c>
      <c r="B401" s="7" t="str">
        <f>HYPERLINK("https://www.microsoft.com/en-us/","Microsoft and National Geographic")</f>
        <v>Microsoft and National Geographic</v>
      </c>
      <c r="C401" s="8" t="s">
        <v>16</v>
      </c>
      <c r="D401" s="7" t="str">
        <f>HYPERLINK("https://www.microsoft.com/en-us/aiforearth/grants.aspx","AI for Earth")</f>
        <v>AI for Earth</v>
      </c>
      <c r="E401" s="18" t="s">
        <v>1030</v>
      </c>
      <c r="F401" s="9" t="s">
        <v>90</v>
      </c>
      <c r="G401" s="9"/>
      <c r="H401" s="9" t="s">
        <v>1031</v>
      </c>
      <c r="I401" s="27" t="s">
        <v>1032</v>
      </c>
      <c r="J401" s="5"/>
    </row>
    <row r="402" ht="15.75" customHeight="1">
      <c r="A402" s="19">
        <v>44474.0</v>
      </c>
      <c r="B402" s="7" t="str">
        <f>HYPERLINK("https://www.wilsoncenter.org/","Wilson Center")</f>
        <v>Wilson Center</v>
      </c>
      <c r="C402" s="8" t="s">
        <v>16</v>
      </c>
      <c r="D402" s="7" t="str">
        <f>HYPERLINK("https://www.wilsoncenter.org/fellowship-application-guidelines","Fellowships")</f>
        <v>Fellowships</v>
      </c>
      <c r="E402" s="18" t="s">
        <v>45</v>
      </c>
      <c r="F402" s="9" t="s">
        <v>34</v>
      </c>
      <c r="G402" s="9"/>
      <c r="H402" s="42">
        <v>90000.0</v>
      </c>
      <c r="I402" s="27" t="s">
        <v>1033</v>
      </c>
      <c r="J402" s="5"/>
    </row>
    <row r="403" ht="15.75" customHeight="1">
      <c r="A403" s="19">
        <v>45327.0</v>
      </c>
      <c r="B403" s="7" t="str">
        <f t="shared" ref="B403:B404" si="29">HYPERLINK("https://www.nih.gov/","National Institutes of Health")</f>
        <v>National Institutes of Health</v>
      </c>
      <c r="C403" s="8" t="s">
        <v>41</v>
      </c>
      <c r="D403" s="7" t="str">
        <f>HYPERLINK("https://grants.nih.gov/grants/funding/r01.htm","R01 Research Grants")</f>
        <v>R01 Research Grants</v>
      </c>
      <c r="E403" s="18" t="s">
        <v>77</v>
      </c>
      <c r="F403" s="9" t="s">
        <v>90</v>
      </c>
      <c r="G403" s="9"/>
      <c r="H403" s="9" t="s">
        <v>1034</v>
      </c>
      <c r="I403" s="27" t="s">
        <v>1035</v>
      </c>
      <c r="J403" s="5"/>
    </row>
    <row r="404" ht="15.75" customHeight="1">
      <c r="A404" s="19">
        <v>45204.0</v>
      </c>
      <c r="B404" s="7" t="str">
        <f t="shared" si="29"/>
        <v>National Institutes of Health</v>
      </c>
      <c r="C404" s="8" t="s">
        <v>41</v>
      </c>
      <c r="D404" s="7" t="s">
        <v>1036</v>
      </c>
      <c r="E404" s="18" t="s">
        <v>77</v>
      </c>
      <c r="F404" s="9" t="s">
        <v>90</v>
      </c>
      <c r="G404" s="9"/>
      <c r="H404" s="9"/>
      <c r="I404" s="16" t="s">
        <v>1037</v>
      </c>
      <c r="J404" s="5"/>
    </row>
    <row r="405" ht="15.75" customHeight="1">
      <c r="A405" s="19">
        <v>44475.0</v>
      </c>
      <c r="B405" s="7" t="str">
        <f>HYPERLINK("https://artisttrust.org/index.php","Artist Trust")</f>
        <v>Artist Trust</v>
      </c>
      <c r="C405" s="8" t="s">
        <v>16</v>
      </c>
      <c r="D405" s="7" t="s">
        <v>1038</v>
      </c>
      <c r="E405" s="18" t="s">
        <v>17</v>
      </c>
      <c r="F405" s="18" t="s">
        <v>143</v>
      </c>
      <c r="G405" s="18"/>
      <c r="H405" s="101">
        <v>1500.0</v>
      </c>
      <c r="I405" s="102" t="s">
        <v>1039</v>
      </c>
      <c r="J405" s="5"/>
    </row>
    <row r="406" ht="15.75" customHeight="1">
      <c r="A406" s="19">
        <v>45204.0</v>
      </c>
      <c r="B406" s="7" t="str">
        <f>HYPERLINK("https://nationalhumanitiescenter.org","National Humanities Center")</f>
        <v>National Humanities Center</v>
      </c>
      <c r="C406" s="8" t="s">
        <v>16</v>
      </c>
      <c r="D406" s="7" t="str">
        <f>HYPERLINK("https://nationalhumanitiescenter.org/become-a-fellow/","Fellowship")</f>
        <v>Fellowship</v>
      </c>
      <c r="E406" s="18" t="s">
        <v>128</v>
      </c>
      <c r="F406" s="15" t="s">
        <v>34</v>
      </c>
      <c r="G406" s="15"/>
      <c r="H406" s="86" t="s">
        <v>1040</v>
      </c>
      <c r="I406" s="102" t="s">
        <v>1041</v>
      </c>
      <c r="J406" s="5"/>
    </row>
    <row r="407" ht="15.75" customHeight="1">
      <c r="A407" s="19">
        <v>44477.0</v>
      </c>
      <c r="B407" s="7" t="str">
        <f>HYPERLINK("https://www.ned.org/","National Endowment for Democracy")</f>
        <v>National Endowment for Democracy</v>
      </c>
      <c r="C407" s="8" t="s">
        <v>16</v>
      </c>
      <c r="D407" s="7" t="str">
        <f>HYPERLINK("https://www.ned.org/fellowships/reagan-fascell-democracy-fellows-program/","Reagan-Fascell Democracy Fellowship")</f>
        <v>Reagan-Fascell Democracy Fellowship</v>
      </c>
      <c r="E407" s="18" t="s">
        <v>43</v>
      </c>
      <c r="F407" s="9" t="s">
        <v>34</v>
      </c>
      <c r="G407" s="9"/>
      <c r="H407" s="86"/>
      <c r="I407" s="102" t="s">
        <v>1042</v>
      </c>
      <c r="J407" s="5"/>
    </row>
    <row r="408" ht="15.75" customHeight="1">
      <c r="A408" s="21">
        <v>45215.0</v>
      </c>
      <c r="B408" s="7" t="str">
        <f>HYPERLINK("https://www.srf.org/","Smith Richardson Foundation")</f>
        <v>Smith Richardson Foundation</v>
      </c>
      <c r="C408" s="8" t="s">
        <v>16</v>
      </c>
      <c r="D408" s="7" t="str">
        <f>HYPERLINK("https://www.srf.org/programs/international-security-foreign-policy/world-politics-statecraft-fellowship/","World Politics and Statecraft Fellowship")</f>
        <v>World Politics and Statecraft Fellowship</v>
      </c>
      <c r="E408" s="18" t="s">
        <v>43</v>
      </c>
      <c r="F408" s="9" t="s">
        <v>66</v>
      </c>
      <c r="G408" s="9"/>
      <c r="H408" s="94">
        <v>7500.0</v>
      </c>
      <c r="I408" s="73" t="s">
        <v>1043</v>
      </c>
      <c r="J408" s="5"/>
    </row>
    <row r="409" ht="15.75" customHeight="1">
      <c r="A409" s="19">
        <v>44479.0</v>
      </c>
      <c r="B409" s="13" t="s">
        <v>1044</v>
      </c>
      <c r="C409" s="8"/>
      <c r="D409" s="13" t="s">
        <v>1045</v>
      </c>
      <c r="E409" s="18"/>
      <c r="F409" s="9"/>
      <c r="G409" s="9"/>
      <c r="H409" s="86"/>
      <c r="I409" s="102" t="s">
        <v>1046</v>
      </c>
      <c r="J409" s="5"/>
    </row>
    <row r="410" ht="15.75" customHeight="1">
      <c r="A410" s="19">
        <v>45176.0</v>
      </c>
      <c r="B410" s="7" t="s">
        <v>40</v>
      </c>
      <c r="C410" s="8" t="s">
        <v>41</v>
      </c>
      <c r="D410" s="7" t="str">
        <f>HYPERLINK("https://www.neh.gov/grants/education/dialogues-the-experience-war","Dialogues on the Experience of War")</f>
        <v>Dialogues on the Experience of War</v>
      </c>
      <c r="E410" s="18" t="s">
        <v>82</v>
      </c>
      <c r="F410" s="9" t="s">
        <v>221</v>
      </c>
      <c r="G410" s="9"/>
      <c r="H410" s="9" t="s">
        <v>1047</v>
      </c>
      <c r="I410" s="27" t="s">
        <v>1048</v>
      </c>
      <c r="J410" s="5"/>
    </row>
    <row r="411" ht="15.75" customHeight="1">
      <c r="A411" s="19">
        <v>45214.0</v>
      </c>
      <c r="B411" s="7" t="str">
        <f>HYPERLINK("http://artomi.org/","Art Omi")</f>
        <v>Art Omi</v>
      </c>
      <c r="C411" s="8" t="s">
        <v>16</v>
      </c>
      <c r="D411" s="7" t="str">
        <f>HYPERLINK("http://artomi.org/residencies/art","Art Omi: Artists Residency")</f>
        <v>Art Omi: Artists Residency</v>
      </c>
      <c r="E411" s="18" t="s">
        <v>1049</v>
      </c>
      <c r="F411" s="15" t="s">
        <v>34</v>
      </c>
      <c r="G411" s="15" t="s">
        <v>1050</v>
      </c>
      <c r="H411" s="9" t="s">
        <v>702</v>
      </c>
      <c r="I411" s="16" t="s">
        <v>1051</v>
      </c>
      <c r="J411" s="5"/>
    </row>
    <row r="412" ht="15.75" customHeight="1">
      <c r="A412" s="19">
        <v>44484.0</v>
      </c>
      <c r="B412" s="7" t="str">
        <f>HYPERLINK("https://www.hs.ias.edu/","Institute for Advanced Study (IAS)")</f>
        <v>Institute for Advanced Study (IAS)</v>
      </c>
      <c r="C412" s="8" t="s">
        <v>10</v>
      </c>
      <c r="D412" s="7" t="str">
        <f>HYPERLINK("https://www.hs.ias.edu/mem_announcement","School of Historical Studies Membership")</f>
        <v>School of Historical Studies Membership</v>
      </c>
      <c r="E412" s="18" t="s">
        <v>61</v>
      </c>
      <c r="F412" s="9" t="s">
        <v>34</v>
      </c>
      <c r="G412" s="9"/>
      <c r="H412" s="50" t="s">
        <v>1052</v>
      </c>
      <c r="I412" s="16" t="s">
        <v>1053</v>
      </c>
      <c r="J412" s="5"/>
    </row>
    <row r="413" ht="15.75" customHeight="1">
      <c r="A413" s="19">
        <v>45214.0</v>
      </c>
      <c r="B413" s="7" t="str">
        <f>HYPERLINK("https://www.ias.edu/","Institute for Advanced Study (IAS)")</f>
        <v>Institute for Advanced Study (IAS)</v>
      </c>
      <c r="C413" s="8" t="s">
        <v>10</v>
      </c>
      <c r="D413" s="7" t="str">
        <f>HYPERLINK("https://www.hs.ias.edu/instructions","School of Historical Studies")</f>
        <v>School of Historical Studies</v>
      </c>
      <c r="E413" s="18" t="s">
        <v>61</v>
      </c>
      <c r="F413" s="9" t="s">
        <v>90</v>
      </c>
      <c r="G413" s="26"/>
      <c r="H413" s="9" t="s">
        <v>1054</v>
      </c>
      <c r="I413" s="16" t="s">
        <v>1055</v>
      </c>
      <c r="J413" s="5"/>
    </row>
    <row r="414" ht="15.75" customHeight="1">
      <c r="A414" s="19">
        <v>45047.0</v>
      </c>
      <c r="B414" s="7" t="str">
        <f t="shared" ref="B414:B415" si="30">HYPERLINK("http://www.nationalacademies.org/","National Academies of Science, Engineering, Medicine")</f>
        <v>National Academies of Science, Engineering, Medicine</v>
      </c>
      <c r="C414" s="14" t="s">
        <v>16</v>
      </c>
      <c r="D414" s="13" t="s">
        <v>1056</v>
      </c>
      <c r="E414" s="6" t="s">
        <v>1057</v>
      </c>
      <c r="F414" s="9"/>
      <c r="G414" s="9"/>
      <c r="H414" s="23"/>
      <c r="I414" s="16" t="s">
        <v>1058</v>
      </c>
      <c r="J414" s="5"/>
    </row>
    <row r="415" ht="15.75" customHeight="1">
      <c r="A415" s="19">
        <v>44484.0</v>
      </c>
      <c r="B415" s="7" t="str">
        <f t="shared" si="30"/>
        <v>National Academies of Science, Engineering, Medicine</v>
      </c>
      <c r="C415" s="8" t="s">
        <v>16</v>
      </c>
      <c r="D415" s="7" t="s">
        <v>1059</v>
      </c>
      <c r="E415" s="18" t="s">
        <v>77</v>
      </c>
      <c r="F415" s="9" t="s">
        <v>34</v>
      </c>
      <c r="G415" s="9"/>
      <c r="H415" s="23">
        <v>50000.0</v>
      </c>
      <c r="I415" s="16" t="s">
        <v>1060</v>
      </c>
      <c r="J415" s="5"/>
    </row>
    <row r="416" ht="15.75" customHeight="1">
      <c r="A416" s="30">
        <v>44484.0</v>
      </c>
      <c r="B416" s="7" t="str">
        <f>HYPERLINK("https://hds.harvard.edu/home","Harvard University Divinity School")</f>
        <v>Harvard University Divinity School</v>
      </c>
      <c r="C416" s="8" t="s">
        <v>10</v>
      </c>
      <c r="D416" s="13" t="s">
        <v>1061</v>
      </c>
      <c r="E416" s="18" t="s">
        <v>554</v>
      </c>
      <c r="F416" s="9" t="s">
        <v>66</v>
      </c>
      <c r="G416" s="9"/>
      <c r="H416" s="23">
        <v>60000.0</v>
      </c>
      <c r="I416" s="16" t="s">
        <v>1062</v>
      </c>
      <c r="J416" s="5"/>
    </row>
    <row r="417" ht="15.75" customHeight="1">
      <c r="A417" s="19">
        <v>44484.0</v>
      </c>
      <c r="B417" s="7" t="str">
        <f>HYPERLINK("https://www.nga.gov/index.html","National Gallery of Art")</f>
        <v>National Gallery of Art</v>
      </c>
      <c r="C417" s="48" t="s">
        <v>49</v>
      </c>
      <c r="D417" s="7" t="s">
        <v>990</v>
      </c>
      <c r="E417" s="18" t="s">
        <v>65</v>
      </c>
      <c r="F417" s="9" t="s">
        <v>34</v>
      </c>
      <c r="G417" s="9" t="s">
        <v>470</v>
      </c>
      <c r="H417" s="9" t="s">
        <v>1063</v>
      </c>
      <c r="I417" s="16" t="s">
        <v>1064</v>
      </c>
      <c r="J417" s="5"/>
    </row>
    <row r="418" ht="15.75" customHeight="1">
      <c r="A418" s="21">
        <v>45214.0</v>
      </c>
      <c r="B418" s="7" t="str">
        <f>HYPERLINK("http://www.amylowell.org/index.html","Amy Lowell Scholarship Fund")</f>
        <v>Amy Lowell Scholarship Fund</v>
      </c>
      <c r="C418" s="8" t="s">
        <v>16</v>
      </c>
      <c r="D418" s="7" t="str">
        <f>HYPERLINK("http://www.amylowell.org/index.html","Amy Lowell Poetry Traveling Scholarship")</f>
        <v>Amy Lowell Poetry Traveling Scholarship</v>
      </c>
      <c r="E418" s="18" t="s">
        <v>1065</v>
      </c>
      <c r="F418" s="9" t="s">
        <v>66</v>
      </c>
      <c r="G418" s="9"/>
      <c r="H418" s="23">
        <v>59000.0</v>
      </c>
      <c r="I418" s="27" t="s">
        <v>1066</v>
      </c>
      <c r="J418" s="5"/>
    </row>
    <row r="419" ht="15.75" customHeight="1">
      <c r="A419" s="21">
        <v>45214.0</v>
      </c>
      <c r="B419" s="7" t="str">
        <f>HYPERLINK("https://www.clarkart.edu/","Clark Art Institute")</f>
        <v>Clark Art Institute</v>
      </c>
      <c r="C419" s="8" t="s">
        <v>10</v>
      </c>
      <c r="D419" s="17" t="s">
        <v>1067</v>
      </c>
      <c r="E419" s="18" t="s">
        <v>1068</v>
      </c>
      <c r="F419" s="9" t="s">
        <v>34</v>
      </c>
      <c r="G419" s="9"/>
      <c r="H419" s="23" t="s">
        <v>13</v>
      </c>
      <c r="I419" s="27" t="s">
        <v>1069</v>
      </c>
      <c r="J419" s="5"/>
    </row>
    <row r="420" ht="15.75" customHeight="1">
      <c r="A420" s="21">
        <v>45214.0</v>
      </c>
      <c r="B420" s="7" t="str">
        <f>HYPERLINK("http://www.cckf.org.tw/en","Chiang Ching-kuo Foundation for International Scholarly Exchange")</f>
        <v>Chiang Ching-kuo Foundation for International Scholarly Exchange</v>
      </c>
      <c r="C420" s="8" t="s">
        <v>16</v>
      </c>
      <c r="D420" s="7" t="str">
        <f>HYPERLINK("http://www.cckf.org.tw/en/programs/american/scholar","Scholar Grants")</f>
        <v>Scholar Grants</v>
      </c>
      <c r="E420" s="18" t="s">
        <v>1070</v>
      </c>
      <c r="F420" s="9" t="s">
        <v>46</v>
      </c>
      <c r="G420" s="9"/>
      <c r="H420" s="23" t="s">
        <v>1071</v>
      </c>
      <c r="I420" s="27" t="s">
        <v>1072</v>
      </c>
      <c r="J420" s="5"/>
    </row>
    <row r="421" ht="15.75" customHeight="1">
      <c r="A421" s="19">
        <v>45214.0</v>
      </c>
      <c r="B421" s="7" t="str">
        <f>HYPERLINK("http://www.cckf.org/","Chiang Ching-kuo Foundation for International Scholarly Exchange")</f>
        <v>Chiang Ching-kuo Foundation for International Scholarly Exchange</v>
      </c>
      <c r="C421" s="8" t="s">
        <v>16</v>
      </c>
      <c r="D421" s="7" t="s">
        <v>759</v>
      </c>
      <c r="E421" s="18" t="s">
        <v>45</v>
      </c>
      <c r="F421" s="9" t="s">
        <v>477</v>
      </c>
      <c r="G421" s="9"/>
      <c r="H421" s="9"/>
      <c r="I421" s="16" t="s">
        <v>1073</v>
      </c>
      <c r="J421" s="5"/>
    </row>
    <row r="422" ht="15.75" customHeight="1">
      <c r="A422" s="19">
        <v>45177.0</v>
      </c>
      <c r="B422" s="7" t="str">
        <f t="shared" ref="B422:B424" si="31">HYPERLINK("https://www.acs.org/","American Chemistry Society")</f>
        <v>American Chemistry Society</v>
      </c>
      <c r="C422" s="8" t="s">
        <v>16</v>
      </c>
      <c r="D422" s="7" t="str">
        <f>HYPERLINK("https://www.acs.org/content/acs/en/funding-and-awards/grants/prf/programs/ur.html","Undergraduate Research")</f>
        <v>Undergraduate Research</v>
      </c>
      <c r="E422" s="18" t="s">
        <v>399</v>
      </c>
      <c r="F422" s="18" t="s">
        <v>90</v>
      </c>
      <c r="G422" s="18"/>
      <c r="H422" s="9" t="s">
        <v>1074</v>
      </c>
      <c r="I422" s="27" t="s">
        <v>1075</v>
      </c>
      <c r="J422" s="5"/>
    </row>
    <row r="423" ht="15.75" customHeight="1">
      <c r="A423" s="19">
        <v>45177.0</v>
      </c>
      <c r="B423" s="7" t="str">
        <f t="shared" si="31"/>
        <v>American Chemistry Society</v>
      </c>
      <c r="C423" s="8" t="s">
        <v>16</v>
      </c>
      <c r="D423" s="7" t="str">
        <f>HYPERLINK("https://www.acs.org/content/acs/en/funding-and-awards/grants/prf/programs/uni.html","Undergraduate New Investigator Grants")</f>
        <v>Undergraduate New Investigator Grants</v>
      </c>
      <c r="E423" s="18" t="s">
        <v>399</v>
      </c>
      <c r="F423" s="9" t="s">
        <v>90</v>
      </c>
      <c r="G423" s="9"/>
      <c r="H423" s="9" t="s">
        <v>1074</v>
      </c>
      <c r="I423" s="27" t="s">
        <v>1076</v>
      </c>
      <c r="J423" s="5"/>
    </row>
    <row r="424" ht="15.75" customHeight="1">
      <c r="A424" s="19">
        <v>44440.0</v>
      </c>
      <c r="B424" s="7" t="str">
        <f t="shared" si="31"/>
        <v>American Chemistry Society</v>
      </c>
      <c r="C424" s="14" t="s">
        <v>16</v>
      </c>
      <c r="D424" s="13" t="s">
        <v>1077</v>
      </c>
      <c r="E424" s="6" t="s">
        <v>77</v>
      </c>
      <c r="F424" s="18"/>
      <c r="G424" s="18"/>
      <c r="H424" s="9"/>
      <c r="I424" s="16" t="s">
        <v>1078</v>
      </c>
      <c r="J424" s="5"/>
    </row>
    <row r="425" ht="15.75" hidden="1" customHeight="1">
      <c r="A425" s="19">
        <v>44487.0</v>
      </c>
      <c r="B425" s="13" t="s">
        <v>1079</v>
      </c>
      <c r="C425" s="14" t="s">
        <v>16</v>
      </c>
      <c r="D425" s="13" t="s">
        <v>1080</v>
      </c>
      <c r="E425" s="6" t="s">
        <v>43</v>
      </c>
      <c r="F425" s="18"/>
      <c r="G425" s="18"/>
      <c r="H425" s="9"/>
      <c r="I425" s="16" t="s">
        <v>1081</v>
      </c>
      <c r="J425" s="5"/>
    </row>
    <row r="426" ht="15.75" customHeight="1">
      <c r="A426" s="19">
        <v>45215.0</v>
      </c>
      <c r="B426" s="7" t="str">
        <f>HYPERLINK("https://www.nih.gov/","National Institutes of Health ")</f>
        <v>National Institutes of Health </v>
      </c>
      <c r="C426" s="8" t="s">
        <v>41</v>
      </c>
      <c r="D426" s="7" t="s">
        <v>637</v>
      </c>
      <c r="E426" s="18" t="s">
        <v>77</v>
      </c>
      <c r="F426" s="18" t="s">
        <v>90</v>
      </c>
      <c r="G426" s="18"/>
      <c r="H426" s="9"/>
      <c r="I426" s="16" t="s">
        <v>1082</v>
      </c>
      <c r="J426" s="5"/>
    </row>
    <row r="427" ht="15.75" customHeight="1">
      <c r="A427" s="19">
        <v>45180.0</v>
      </c>
      <c r="B427" s="7" t="str">
        <f t="shared" ref="B427:B429" si="32">HYPERLINK("https://www.nsf.gov/","National Science Foundation")</f>
        <v>National Science Foundation</v>
      </c>
      <c r="C427" s="14" t="s">
        <v>41</v>
      </c>
      <c r="D427" s="13" t="s">
        <v>1083</v>
      </c>
      <c r="E427" s="6" t="s">
        <v>77</v>
      </c>
      <c r="F427" s="9"/>
      <c r="G427" s="9"/>
      <c r="H427" s="9"/>
      <c r="I427" s="16" t="s">
        <v>1084</v>
      </c>
      <c r="J427" s="5"/>
    </row>
    <row r="428" ht="15.75" customHeight="1">
      <c r="A428" s="19">
        <v>45204.0</v>
      </c>
      <c r="B428" s="7" t="str">
        <f t="shared" si="32"/>
        <v>National Science Foundation</v>
      </c>
      <c r="C428" s="14" t="s">
        <v>41</v>
      </c>
      <c r="D428" s="13" t="s">
        <v>1085</v>
      </c>
      <c r="E428" s="6" t="s">
        <v>77</v>
      </c>
      <c r="F428" s="9"/>
      <c r="G428" s="9"/>
      <c r="H428" s="9"/>
      <c r="I428" s="16" t="s">
        <v>1086</v>
      </c>
      <c r="J428" s="5"/>
    </row>
    <row r="429" ht="15.75" customHeight="1">
      <c r="A429" s="19">
        <v>44489.0</v>
      </c>
      <c r="B429" s="7" t="str">
        <f t="shared" si="32"/>
        <v>National Science Foundation</v>
      </c>
      <c r="C429" s="8" t="s">
        <v>41</v>
      </c>
      <c r="D429" s="7" t="s">
        <v>1087</v>
      </c>
      <c r="E429" s="18" t="s">
        <v>188</v>
      </c>
      <c r="F429" s="9" t="s">
        <v>90</v>
      </c>
      <c r="G429" s="9"/>
      <c r="H429" s="9"/>
      <c r="I429" s="27" t="s">
        <v>1088</v>
      </c>
      <c r="J429" s="5"/>
    </row>
    <row r="430" ht="15.75" customHeight="1">
      <c r="A430" s="19">
        <v>44491.0</v>
      </c>
      <c r="B430" s="13" t="s">
        <v>1089</v>
      </c>
      <c r="C430" s="14" t="s">
        <v>16</v>
      </c>
      <c r="D430" s="13" t="s">
        <v>1090</v>
      </c>
      <c r="E430" s="6" t="s">
        <v>128</v>
      </c>
      <c r="F430" s="50" t="s">
        <v>66</v>
      </c>
      <c r="G430" s="9"/>
      <c r="H430" s="50" t="s">
        <v>1091</v>
      </c>
      <c r="I430" s="16" t="s">
        <v>1092</v>
      </c>
      <c r="J430" s="5"/>
    </row>
    <row r="431" ht="15.75" customHeight="1">
      <c r="A431" s="19">
        <v>45224.0</v>
      </c>
      <c r="B431" s="7" t="str">
        <f>HYPERLINK("https://www.nsf.gov/","National Science Foundation")</f>
        <v>National Science Foundation</v>
      </c>
      <c r="C431" s="8" t="s">
        <v>41</v>
      </c>
      <c r="D431" s="7" t="s">
        <v>1093</v>
      </c>
      <c r="E431" s="18" t="s">
        <v>77</v>
      </c>
      <c r="F431" s="9" t="s">
        <v>90</v>
      </c>
      <c r="G431" s="9"/>
      <c r="H431" s="9" t="s">
        <v>1094</v>
      </c>
      <c r="I431" s="27" t="s">
        <v>1095</v>
      </c>
      <c r="J431" s="40"/>
    </row>
    <row r="432" ht="15.75" customHeight="1">
      <c r="A432" s="19">
        <v>45227.0</v>
      </c>
      <c r="B432" s="7" t="str">
        <f>HYPERLINK("https://irh.wisc.edu","University of Wisconsin Institute for Research in the Humanities")</f>
        <v>University of Wisconsin Institute for Research in the Humanities</v>
      </c>
      <c r="C432" s="8" t="s">
        <v>10</v>
      </c>
      <c r="D432" s="7" t="str">
        <f>HYPERLINK("https://irh.wisc.edu/irh-fellowships/","Solmsen Post-doctoral Fellowships")</f>
        <v>Solmsen Post-doctoral Fellowships</v>
      </c>
      <c r="E432" s="18" t="s">
        <v>128</v>
      </c>
      <c r="F432" s="9" t="s">
        <v>34</v>
      </c>
      <c r="G432" s="9"/>
      <c r="H432" s="23">
        <v>55000.0</v>
      </c>
      <c r="I432" s="16" t="s">
        <v>1096</v>
      </c>
      <c r="J432" s="5"/>
    </row>
    <row r="433" ht="15.75" customHeight="1">
      <c r="A433" s="19">
        <v>45227.0</v>
      </c>
      <c r="B433" s="7" t="str">
        <f>HYPERLINK("https://irh.wisc.edu/","Institute for Research in the Humanities University of Wisconsin - Madison")</f>
        <v>Institute for Research in the Humanities University of Wisconsin - Madison</v>
      </c>
      <c r="C433" s="8" t="s">
        <v>610</v>
      </c>
      <c r="D433" s="7" t="str">
        <f>HYPERLINK("https://irh.wisc.edu/irh-fellowships/","Kingdon Fellowships")</f>
        <v>Kingdon Fellowships</v>
      </c>
      <c r="E433" s="18" t="s">
        <v>554</v>
      </c>
      <c r="F433" s="9" t="s">
        <v>34</v>
      </c>
      <c r="G433" s="9"/>
      <c r="H433" s="23">
        <v>57000.0</v>
      </c>
      <c r="I433" s="16" t="s">
        <v>1097</v>
      </c>
      <c r="J433" s="5"/>
    </row>
    <row r="434" ht="15.75" customHeight="1">
      <c r="A434" s="19">
        <v>45230.0</v>
      </c>
      <c r="B434" s="7" t="s">
        <v>491</v>
      </c>
      <c r="C434" s="48" t="s">
        <v>41</v>
      </c>
      <c r="D434" s="17" t="s">
        <v>1098</v>
      </c>
      <c r="E434" s="18" t="s">
        <v>17</v>
      </c>
      <c r="F434" s="9" t="s">
        <v>66</v>
      </c>
      <c r="G434" s="9" t="s">
        <v>772</v>
      </c>
      <c r="H434" s="23">
        <v>25000.0</v>
      </c>
      <c r="I434" s="16" t="s">
        <v>1099</v>
      </c>
      <c r="J434" s="5"/>
    </row>
    <row r="435" ht="15.75" customHeight="1">
      <c r="A435" s="30">
        <v>45200.0</v>
      </c>
      <c r="B435" s="13" t="s">
        <v>1100</v>
      </c>
      <c r="C435" s="14" t="s">
        <v>16</v>
      </c>
      <c r="D435" s="13" t="s">
        <v>1101</v>
      </c>
      <c r="E435" s="6" t="s">
        <v>45</v>
      </c>
      <c r="F435" s="9"/>
      <c r="G435" s="9"/>
      <c r="H435" s="23"/>
      <c r="I435" s="16" t="s">
        <v>1102</v>
      </c>
      <c r="J435" s="5"/>
    </row>
    <row r="436" ht="15.75" customHeight="1">
      <c r="A436" s="30">
        <v>44500.0</v>
      </c>
      <c r="B436" s="7" t="str">
        <f>HYPERLINK("baef.be","Beligian American Educational Foundation")</f>
        <v>Beligian American Educational Foundation</v>
      </c>
      <c r="C436" s="8" t="s">
        <v>16</v>
      </c>
      <c r="D436" s="13" t="s">
        <v>299</v>
      </c>
      <c r="E436" s="18" t="s">
        <v>1103</v>
      </c>
      <c r="F436" s="9" t="s">
        <v>66</v>
      </c>
      <c r="G436" s="9"/>
      <c r="H436" s="23">
        <v>32000.0</v>
      </c>
      <c r="I436" s="16" t="s">
        <v>1104</v>
      </c>
      <c r="J436" s="5"/>
    </row>
    <row r="437" ht="15.75" customHeight="1">
      <c r="A437" s="19">
        <v>44500.0</v>
      </c>
      <c r="B437" s="7" t="str">
        <f>HYPERLINK("http://www.ascsa.edu.gr/","American School of Classical Studies at Athens")</f>
        <v>American School of Classical Studies at Athens</v>
      </c>
      <c r="C437" s="8" t="s">
        <v>10</v>
      </c>
      <c r="D437" s="17" t="s">
        <v>1105</v>
      </c>
      <c r="E437" s="18" t="s">
        <v>1106</v>
      </c>
      <c r="F437" s="18" t="s">
        <v>34</v>
      </c>
      <c r="G437" s="18"/>
      <c r="H437" s="9" t="s">
        <v>1107</v>
      </c>
      <c r="I437" s="16" t="s">
        <v>1108</v>
      </c>
      <c r="J437" s="5"/>
    </row>
    <row r="438" ht="15.75" customHeight="1">
      <c r="A438" s="19">
        <v>45230.0</v>
      </c>
      <c r="B438" s="7" t="str">
        <f t="shared" ref="B438:B439" si="33">HYPERLINK("https://www.cfr.org/","Council on Foreign Relations")</f>
        <v>Council on Foreign Relations</v>
      </c>
      <c r="C438" s="14" t="s">
        <v>16</v>
      </c>
      <c r="D438" s="13" t="s">
        <v>1109</v>
      </c>
      <c r="E438" s="6" t="s">
        <v>43</v>
      </c>
      <c r="F438" s="9"/>
      <c r="G438" s="9"/>
      <c r="H438" s="23"/>
      <c r="I438" s="16" t="s">
        <v>1110</v>
      </c>
      <c r="J438" s="5"/>
    </row>
    <row r="439" ht="15.75" customHeight="1">
      <c r="A439" s="19">
        <v>45230.0</v>
      </c>
      <c r="B439" s="7" t="str">
        <f t="shared" si="33"/>
        <v>Council on Foreign Relations</v>
      </c>
      <c r="C439" s="8" t="s">
        <v>16</v>
      </c>
      <c r="D439" s="7" t="s">
        <v>1111</v>
      </c>
      <c r="E439" s="18" t="s">
        <v>43</v>
      </c>
      <c r="F439" s="9" t="s">
        <v>34</v>
      </c>
      <c r="G439" s="9" t="s">
        <v>1112</v>
      </c>
      <c r="H439" s="23">
        <v>105000.0</v>
      </c>
      <c r="I439" s="16" t="s">
        <v>1113</v>
      </c>
      <c r="J439" s="5"/>
    </row>
    <row r="440" ht="15.75" customHeight="1">
      <c r="A440" s="19">
        <v>44500.0</v>
      </c>
      <c r="B440" s="7" t="str">
        <f>HYPERLINK("https://www.nsf.gov/","National Science Foundation")</f>
        <v>National Science Foundation</v>
      </c>
      <c r="C440" s="8" t="s">
        <v>41</v>
      </c>
      <c r="D440" s="17" t="s">
        <v>978</v>
      </c>
      <c r="E440" s="18" t="s">
        <v>399</v>
      </c>
      <c r="F440" s="9" t="s">
        <v>477</v>
      </c>
      <c r="G440" s="9"/>
      <c r="H440" s="9"/>
      <c r="I440" s="16" t="s">
        <v>1114</v>
      </c>
      <c r="J440" s="5"/>
    </row>
    <row r="441" ht="15.75" customHeight="1">
      <c r="A441" s="19">
        <v>45230.0</v>
      </c>
      <c r="B441" s="7" t="str">
        <f>HYPERLINK("https://www.hagley.org/","Hagley Museum &amp; LIbrary")</f>
        <v>Hagley Museum &amp; LIbrary</v>
      </c>
      <c r="C441" s="8" t="s">
        <v>16</v>
      </c>
      <c r="D441" s="7" t="s">
        <v>1115</v>
      </c>
      <c r="E441" s="18" t="s">
        <v>45</v>
      </c>
      <c r="F441" s="9"/>
      <c r="G441" s="9"/>
      <c r="H441" s="9"/>
      <c r="I441" s="16" t="s">
        <v>1116</v>
      </c>
      <c r="J441" s="5"/>
    </row>
    <row r="442" ht="15.75" customHeight="1">
      <c r="A442" s="19">
        <v>45230.0</v>
      </c>
      <c r="B442" s="7" t="str">
        <f>HYPERLINK("http://www.thelawrencefoundation.org","Lawrence Foundation")</f>
        <v>Lawrence Foundation</v>
      </c>
      <c r="C442" s="8" t="s">
        <v>16</v>
      </c>
      <c r="D442" s="7" t="s">
        <v>1117</v>
      </c>
      <c r="E442" s="18" t="s">
        <v>45</v>
      </c>
      <c r="F442" s="9" t="s">
        <v>1118</v>
      </c>
      <c r="G442" s="9"/>
      <c r="H442" s="9"/>
      <c r="I442" s="27" t="s">
        <v>1119</v>
      </c>
      <c r="J442" s="5"/>
    </row>
    <row r="443" ht="15.75" customHeight="1">
      <c r="A443" s="19">
        <v>45236.0</v>
      </c>
      <c r="B443" s="13" t="s">
        <v>1120</v>
      </c>
      <c r="C443" s="103" t="s">
        <v>16</v>
      </c>
      <c r="D443" s="104" t="s">
        <v>1121</v>
      </c>
      <c r="E443" s="6" t="s">
        <v>1122</v>
      </c>
      <c r="F443" s="6" t="s">
        <v>66</v>
      </c>
      <c r="G443" s="9"/>
      <c r="H443" s="75" t="s">
        <v>1123</v>
      </c>
      <c r="I443" s="16" t="s">
        <v>1124</v>
      </c>
      <c r="J443" s="5"/>
    </row>
    <row r="444" ht="15.75" customHeight="1">
      <c r="A444" s="19">
        <v>45231.0</v>
      </c>
      <c r="B444" s="7" t="str">
        <f>HYPERLINK("http://teachpsych.org/","Society for the Teaching of Psychology")</f>
        <v>Society for the Teaching of Psychology</v>
      </c>
      <c r="C444" s="105" t="s">
        <v>16</v>
      </c>
      <c r="D444" s="68" t="str">
        <f>HYPERLINK("http://teachpsych.org/members/grants/ECPtravel.php","STP Early Career Travel Grant Program")</f>
        <v>STP Early Career Travel Grant Program</v>
      </c>
      <c r="E444" s="18" t="s">
        <v>235</v>
      </c>
      <c r="F444" s="18" t="s">
        <v>71</v>
      </c>
      <c r="G444" s="9"/>
      <c r="H444" s="23">
        <v>500.0</v>
      </c>
      <c r="I444" s="27" t="s">
        <v>1125</v>
      </c>
      <c r="J444" s="5"/>
    </row>
    <row r="445" ht="15.75" customHeight="1">
      <c r="A445" s="19">
        <v>45231.0</v>
      </c>
      <c r="B445" s="7" t="str">
        <f>HYPERLINK("https://www.archaeological.org/","Archeological Institute of America")</f>
        <v>Archeological Institute of America</v>
      </c>
      <c r="C445" s="8" t="s">
        <v>16</v>
      </c>
      <c r="D445" s="17" t="s">
        <v>1126</v>
      </c>
      <c r="E445" s="18" t="s">
        <v>163</v>
      </c>
      <c r="F445" s="9" t="s">
        <v>1127</v>
      </c>
      <c r="G445" s="9"/>
      <c r="H445" s="23">
        <v>20000.0</v>
      </c>
      <c r="I445" s="16" t="s">
        <v>1128</v>
      </c>
      <c r="J445" s="5"/>
    </row>
    <row r="446" ht="15.75" customHeight="1">
      <c r="A446" s="19">
        <v>45231.0</v>
      </c>
      <c r="B446" s="7" t="str">
        <f t="shared" ref="B446:B448" si="34">HYPERLINK("https://www.archaeological.org/","Archaeological Institute of America")</f>
        <v>Archaeological Institute of America</v>
      </c>
      <c r="C446" s="8" t="s">
        <v>16</v>
      </c>
      <c r="D446" s="17" t="s">
        <v>1129</v>
      </c>
      <c r="E446" s="18" t="s">
        <v>163</v>
      </c>
      <c r="F446" s="9" t="s">
        <v>477</v>
      </c>
      <c r="G446" s="9" t="s">
        <v>1130</v>
      </c>
      <c r="H446" s="23">
        <v>5000.0</v>
      </c>
      <c r="I446" s="16" t="s">
        <v>1131</v>
      </c>
      <c r="J446" s="5"/>
    </row>
    <row r="447" ht="15.75" customHeight="1">
      <c r="A447" s="19">
        <v>45231.0</v>
      </c>
      <c r="B447" s="7" t="str">
        <f t="shared" si="34"/>
        <v>Archaeological Institute of America</v>
      </c>
      <c r="C447" s="8" t="s">
        <v>16</v>
      </c>
      <c r="D447" s="17" t="s">
        <v>1132</v>
      </c>
      <c r="E447" s="18" t="s">
        <v>163</v>
      </c>
      <c r="F447" s="9" t="s">
        <v>477</v>
      </c>
      <c r="G447" s="9" t="s">
        <v>1130</v>
      </c>
      <c r="H447" s="23">
        <v>5500.0</v>
      </c>
      <c r="I447" s="16" t="s">
        <v>1133</v>
      </c>
      <c r="J447" s="5"/>
    </row>
    <row r="448" ht="15.75" customHeight="1">
      <c r="A448" s="19">
        <v>45231.0</v>
      </c>
      <c r="B448" s="7" t="str">
        <f t="shared" si="34"/>
        <v>Archaeological Institute of America</v>
      </c>
      <c r="C448" s="8" t="s">
        <v>16</v>
      </c>
      <c r="D448" s="17" t="s">
        <v>1134</v>
      </c>
      <c r="E448" s="18" t="s">
        <v>163</v>
      </c>
      <c r="F448" s="9" t="s">
        <v>477</v>
      </c>
      <c r="G448" s="9" t="s">
        <v>1130</v>
      </c>
      <c r="H448" s="23">
        <v>4000.0</v>
      </c>
      <c r="I448" s="16" t="s">
        <v>1135</v>
      </c>
      <c r="J448" s="106"/>
      <c r="K448" s="62"/>
      <c r="L448" s="62"/>
      <c r="M448" s="62"/>
      <c r="N448" s="62"/>
      <c r="O448" s="62"/>
      <c r="P448" s="62"/>
      <c r="Q448" s="62"/>
      <c r="R448" s="62"/>
      <c r="S448" s="62"/>
      <c r="T448" s="62"/>
      <c r="U448" s="62"/>
      <c r="V448" s="62"/>
      <c r="W448" s="62"/>
      <c r="X448" s="62"/>
      <c r="Y448" s="62"/>
      <c r="Z448" s="62"/>
    </row>
    <row r="449" ht="15.75" customHeight="1">
      <c r="A449" s="19">
        <v>45231.0</v>
      </c>
      <c r="B449" s="7" t="str">
        <f>HYPERLINK("https://www.brown.edu","Brown University George A. and Eliza Gardner Howard Foundation")</f>
        <v>Brown University George A. and Eliza Gardner Howard Foundation</v>
      </c>
      <c r="C449" s="8" t="s">
        <v>10</v>
      </c>
      <c r="D449" s="7" t="str">
        <f>HYPERLINK("https://www.brown.edu/initiatives/howard-foundation/","Fellowships")</f>
        <v>Fellowships</v>
      </c>
      <c r="E449" s="18" t="s">
        <v>45</v>
      </c>
      <c r="F449" s="9" t="s">
        <v>1136</v>
      </c>
      <c r="G449" s="9" t="s">
        <v>1137</v>
      </c>
      <c r="H449" s="23">
        <v>33000.0</v>
      </c>
      <c r="I449" s="16" t="s">
        <v>1138</v>
      </c>
      <c r="J449" s="5"/>
    </row>
    <row r="450" ht="15.75" customHeight="1">
      <c r="A450" s="19">
        <v>44501.0</v>
      </c>
      <c r="B450" s="7" t="str">
        <f>HYPERLINK("http://dreyfus.org","Dreyfus Foundation")</f>
        <v>Dreyfus Foundation</v>
      </c>
      <c r="C450" s="8" t="s">
        <v>16</v>
      </c>
      <c r="D450" s="7" t="str">
        <f>HYPERLINK("https://www.dreyfus.org/acs-awards-for-women/","Award for Encouraging Women into Careers in the Chemical Sciences")</f>
        <v>Award for Encouraging Women into Careers in the Chemical Sciences</v>
      </c>
      <c r="E450" s="18" t="s">
        <v>399</v>
      </c>
      <c r="F450" s="9" t="s">
        <v>138</v>
      </c>
      <c r="G450" s="9"/>
      <c r="H450" s="9" t="s">
        <v>1139</v>
      </c>
      <c r="I450" s="27" t="s">
        <v>1140</v>
      </c>
      <c r="J450" s="5"/>
    </row>
    <row r="451" ht="15.75" customHeight="1">
      <c r="A451" s="19">
        <v>45231.0</v>
      </c>
      <c r="B451" s="7" t="str">
        <f>HYPERLINK("http://teachpsych.org/","Society for the Teaching of Psychology")</f>
        <v>Society for the Teaching of Psychology</v>
      </c>
      <c r="C451" s="8" t="s">
        <v>16</v>
      </c>
      <c r="D451" s="7" t="str">
        <f>HYPERLINK("http://teachpsych.org/members/grants/smallgrants.php","STP Partnerships Small Grant Program")</f>
        <v>STP Partnerships Small Grant Program</v>
      </c>
      <c r="E451" s="18" t="s">
        <v>235</v>
      </c>
      <c r="F451" s="9" t="s">
        <v>1141</v>
      </c>
      <c r="G451" s="9"/>
      <c r="H451" s="9" t="s">
        <v>339</v>
      </c>
      <c r="I451" s="27" t="s">
        <v>1142</v>
      </c>
      <c r="J451" s="5"/>
    </row>
    <row r="452" ht="15.75" customHeight="1">
      <c r="A452" s="19">
        <v>45231.0</v>
      </c>
      <c r="B452" s="7" t="str">
        <f>HYPERLINK("https://www.aauw.org","American Association of University Women (AAUW)")</f>
        <v>American Association of University Women (AAUW)</v>
      </c>
      <c r="C452" s="8" t="s">
        <v>243</v>
      </c>
      <c r="D452" s="7" t="s">
        <v>1143</v>
      </c>
      <c r="E452" s="18" t="s">
        <v>45</v>
      </c>
      <c r="F452" s="9" t="s">
        <v>87</v>
      </c>
      <c r="G452" s="9" t="s">
        <v>1144</v>
      </c>
      <c r="H452" s="23">
        <v>30000.0</v>
      </c>
      <c r="I452" s="27" t="s">
        <v>1145</v>
      </c>
      <c r="J452" s="5"/>
    </row>
    <row r="453" ht="15.75" customHeight="1">
      <c r="A453" s="19">
        <v>45231.0</v>
      </c>
      <c r="B453" s="7" t="str">
        <f>HYPERLINK("http://www.american-music.org","Society for American Music")</f>
        <v>Society for American Music</v>
      </c>
      <c r="C453" s="8" t="s">
        <v>16</v>
      </c>
      <c r="D453" s="7" t="str">
        <f>HYPERLINK("https://www.american-music.org/page/BlockFWP","Adrienne Fried Block Fellowship")</f>
        <v>Adrienne Fried Block Fellowship</v>
      </c>
      <c r="E453" s="18" t="s">
        <v>1146</v>
      </c>
      <c r="F453" s="9" t="s">
        <v>66</v>
      </c>
      <c r="G453" s="9"/>
      <c r="H453" s="9" t="s">
        <v>1147</v>
      </c>
      <c r="I453" s="27" t="s">
        <v>1148</v>
      </c>
      <c r="J453" s="5"/>
    </row>
    <row r="454" ht="15.75" customHeight="1">
      <c r="A454" s="19">
        <v>45231.0</v>
      </c>
      <c r="B454" s="7" t="str">
        <f>HYPERLINK("https://www.aaas.org/","American Association for the Advancement of Science")</f>
        <v>American Association for the Advancement of Science</v>
      </c>
      <c r="C454" s="8" t="s">
        <v>16</v>
      </c>
      <c r="D454" s="7" t="str">
        <f>HYPERLINK("https://www.aaas.org/page/stpf/become-st-policy-fellow","Science and Technology Fellows")</f>
        <v>Science and Technology Fellows</v>
      </c>
      <c r="E454" s="18" t="s">
        <v>1149</v>
      </c>
      <c r="F454" s="9" t="s">
        <v>1150</v>
      </c>
      <c r="G454" s="9" t="s">
        <v>47</v>
      </c>
      <c r="H454" s="23" t="s">
        <v>1151</v>
      </c>
      <c r="I454" s="27" t="s">
        <v>1152</v>
      </c>
      <c r="J454" s="5"/>
    </row>
    <row r="455" ht="15.75" customHeight="1">
      <c r="A455" s="21">
        <v>45231.0</v>
      </c>
      <c r="B455" s="7" t="str">
        <f>HYPERLINK("http://www.amscan.org/","American-Scandinavian Foundation")</f>
        <v>American-Scandinavian Foundation</v>
      </c>
      <c r="C455" s="8" t="s">
        <v>16</v>
      </c>
      <c r="D455" s="7" t="str">
        <f>HYPERLINK("http://www.amscan.org/fellowships-and-grants/fellowshipsgrants-to-study-in-scandinavia/","Fellowships/Grants to Study in Scandanavia")</f>
        <v>Fellowships/Grants to Study in Scandanavia</v>
      </c>
      <c r="E455" s="18" t="s">
        <v>1070</v>
      </c>
      <c r="F455" s="9" t="s">
        <v>34</v>
      </c>
      <c r="G455" s="9"/>
      <c r="H455" s="23" t="s">
        <v>1153</v>
      </c>
      <c r="I455" s="16" t="s">
        <v>1154</v>
      </c>
      <c r="J455" s="5"/>
    </row>
    <row r="456" ht="15.75" customHeight="1">
      <c r="A456" s="19">
        <v>44501.0</v>
      </c>
      <c r="B456" s="7" t="str">
        <f>HYPERLINK("http://www.aarome.org/","American Academy in Rome")</f>
        <v>American Academy in Rome</v>
      </c>
      <c r="C456" s="8" t="s">
        <v>10</v>
      </c>
      <c r="D456" s="17" t="s">
        <v>1155</v>
      </c>
      <c r="E456" s="18" t="s">
        <v>128</v>
      </c>
      <c r="F456" s="15" t="s">
        <v>34</v>
      </c>
      <c r="G456" s="9"/>
      <c r="H456" s="9" t="s">
        <v>1156</v>
      </c>
      <c r="I456" s="27" t="s">
        <v>1157</v>
      </c>
      <c r="J456" s="5"/>
    </row>
    <row r="457" ht="15.75" customHeight="1">
      <c r="A457" s="19">
        <v>45231.0</v>
      </c>
      <c r="B457" s="7" t="str">
        <f>HYPERLINK("https://www.newberry.org/","Newberry Library")</f>
        <v>Newberry Library</v>
      </c>
      <c r="C457" s="8" t="s">
        <v>16</v>
      </c>
      <c r="D457" s="7" t="str">
        <f>HYPERLINK("http://www.newberry.org/long-term-fellowships","Long-Term Fellowships")</f>
        <v>Long-Term Fellowships</v>
      </c>
      <c r="E457" s="18" t="s">
        <v>128</v>
      </c>
      <c r="F457" s="9" t="s">
        <v>34</v>
      </c>
      <c r="G457" s="9"/>
      <c r="H457" s="23" t="s">
        <v>1158</v>
      </c>
      <c r="I457" s="27" t="s">
        <v>1159</v>
      </c>
      <c r="J457" s="5"/>
    </row>
    <row r="458" ht="15.75" customHeight="1">
      <c r="A458" s="19">
        <v>45231.0</v>
      </c>
      <c r="B458" s="7" t="str">
        <f t="shared" ref="B458:B459" si="35">HYPERLINK("https://www.archaeological.org/","Archaeological Institute of America")</f>
        <v>Archaeological Institute of America</v>
      </c>
      <c r="C458" s="8" t="s">
        <v>16</v>
      </c>
      <c r="D458" s="17" t="s">
        <v>1160</v>
      </c>
      <c r="E458" s="18" t="s">
        <v>163</v>
      </c>
      <c r="F458" s="9" t="s">
        <v>191</v>
      </c>
      <c r="G458" s="9"/>
      <c r="H458" s="9" t="s">
        <v>1161</v>
      </c>
      <c r="I458" s="16" t="s">
        <v>1162</v>
      </c>
      <c r="J458" s="5"/>
    </row>
    <row r="459" ht="15.75" customHeight="1">
      <c r="A459" s="19">
        <v>45231.0</v>
      </c>
      <c r="B459" s="7" t="str">
        <f t="shared" si="35"/>
        <v>Archaeological Institute of America</v>
      </c>
      <c r="C459" s="8" t="s">
        <v>16</v>
      </c>
      <c r="D459" s="17" t="s">
        <v>1163</v>
      </c>
      <c r="E459" s="18" t="s">
        <v>163</v>
      </c>
      <c r="F459" s="9" t="s">
        <v>191</v>
      </c>
      <c r="G459" s="9" t="s">
        <v>1164</v>
      </c>
      <c r="H459" s="9"/>
      <c r="I459" s="27" t="s">
        <v>1165</v>
      </c>
      <c r="J459" s="5"/>
    </row>
    <row r="460" ht="15.75" customHeight="1">
      <c r="A460" s="19">
        <v>45231.0</v>
      </c>
      <c r="B460" s="7" t="str">
        <f>HYPERLINK("https://www.aauw.org","American Association of University Women (AAUW)")</f>
        <v>American Association of University Women (AAUW)</v>
      </c>
      <c r="C460" s="8" t="s">
        <v>243</v>
      </c>
      <c r="D460" s="7" t="s">
        <v>1166</v>
      </c>
      <c r="E460" s="18" t="s">
        <v>45</v>
      </c>
      <c r="F460" s="18" t="s">
        <v>143</v>
      </c>
      <c r="G460" s="9"/>
      <c r="H460" s="23">
        <v>6000.0</v>
      </c>
      <c r="I460" s="27" t="s">
        <v>1167</v>
      </c>
      <c r="J460" s="5"/>
    </row>
    <row r="461" ht="15.75" customHeight="1">
      <c r="A461" s="19">
        <v>45231.0</v>
      </c>
      <c r="B461" s="7" t="str">
        <f>HYPERLINK("http://www.tmuny.org/","Trust for Mutual Understanding")</f>
        <v>Trust for Mutual Understanding</v>
      </c>
      <c r="C461" s="8" t="s">
        <v>16</v>
      </c>
      <c r="D461" s="17" t="s">
        <v>759</v>
      </c>
      <c r="E461" s="18" t="s">
        <v>1168</v>
      </c>
      <c r="F461" s="9" t="s">
        <v>143</v>
      </c>
      <c r="G461" s="9"/>
      <c r="H461" s="23" t="s">
        <v>1047</v>
      </c>
      <c r="I461" s="16" t="s">
        <v>1169</v>
      </c>
      <c r="J461" s="5"/>
    </row>
    <row r="462" ht="15.75" customHeight="1">
      <c r="A462" s="19">
        <v>45231.0</v>
      </c>
      <c r="B462" s="7" t="str">
        <f t="shared" ref="B462:B463" si="36">HYPERLINK("https://www.archaeological.org/","Archaeological Institute of America")</f>
        <v>Archaeological Institute of America</v>
      </c>
      <c r="C462" s="8" t="s">
        <v>16</v>
      </c>
      <c r="D462" s="17" t="s">
        <v>1170</v>
      </c>
      <c r="E462" s="18" t="s">
        <v>163</v>
      </c>
      <c r="F462" s="9" t="s">
        <v>1171</v>
      </c>
      <c r="G462" s="9"/>
      <c r="H462" s="23">
        <v>3000.0</v>
      </c>
      <c r="I462" s="27" t="s">
        <v>1172</v>
      </c>
      <c r="J462" s="5"/>
    </row>
    <row r="463" ht="15.75" customHeight="1">
      <c r="A463" s="19">
        <v>45231.0</v>
      </c>
      <c r="B463" s="7" t="str">
        <f t="shared" si="36"/>
        <v>Archaeological Institute of America</v>
      </c>
      <c r="C463" s="8" t="s">
        <v>16</v>
      </c>
      <c r="D463" s="17" t="s">
        <v>1173</v>
      </c>
      <c r="E463" s="18" t="s">
        <v>163</v>
      </c>
      <c r="F463" s="9" t="s">
        <v>1171</v>
      </c>
      <c r="G463" s="9"/>
      <c r="H463" s="23">
        <v>5000.0</v>
      </c>
      <c r="I463" s="27" t="s">
        <v>1174</v>
      </c>
      <c r="J463" s="5"/>
    </row>
    <row r="464" ht="15.75" customHeight="1">
      <c r="A464" s="21">
        <v>45231.0</v>
      </c>
      <c r="B464" s="7" t="str">
        <f>HYPERLINK("https://www.jfklibrary.org/","John F. Kennedy Presidential Library and Museum")</f>
        <v>John F. Kennedy Presidential Library and Museum</v>
      </c>
      <c r="C464" s="8" t="s">
        <v>49</v>
      </c>
      <c r="D464" s="7" t="str">
        <f>HYPERLINK("https://www.jfklibrary.org/About-Us/Job-Volunteer-Internships/Research-Grants-and-Fellowships/Ernest-Hemingway-Research-Grants.aspx","Ernest Hemingway Research Grants")</f>
        <v>Ernest Hemingway Research Grants</v>
      </c>
      <c r="E464" s="18" t="s">
        <v>82</v>
      </c>
      <c r="F464" s="9" t="s">
        <v>90</v>
      </c>
      <c r="G464" s="9"/>
      <c r="H464" s="23"/>
      <c r="I464" s="27" t="s">
        <v>1175</v>
      </c>
      <c r="J464" s="5"/>
    </row>
    <row r="465" ht="15.75" customHeight="1">
      <c r="A465" s="19">
        <v>45231.0</v>
      </c>
      <c r="B465" s="7" t="str">
        <f>HYPERLINK("http://rockarch.org/","Rockefeller Archive")</f>
        <v>Rockefeller Archive</v>
      </c>
      <c r="C465" s="8" t="s">
        <v>16</v>
      </c>
      <c r="D465" s="7" t="s">
        <v>1176</v>
      </c>
      <c r="E465" s="18" t="s">
        <v>45</v>
      </c>
      <c r="F465" s="9" t="s">
        <v>477</v>
      </c>
      <c r="G465" s="9"/>
      <c r="H465" s="9"/>
      <c r="I465" s="27" t="s">
        <v>1177</v>
      </c>
      <c r="J465" s="5"/>
    </row>
    <row r="466" ht="15.75" customHeight="1">
      <c r="A466" s="19">
        <v>45231.0</v>
      </c>
      <c r="B466" s="7" t="str">
        <f>HYPERLINK("http://www.wmkeck.org","W.M. Keck Foundation ")</f>
        <v>W.M. Keck Foundation </v>
      </c>
      <c r="C466" s="8" t="s">
        <v>16</v>
      </c>
      <c r="D466" s="7" t="s">
        <v>1178</v>
      </c>
      <c r="E466" s="18" t="s">
        <v>77</v>
      </c>
      <c r="F466" s="9" t="s">
        <v>90</v>
      </c>
      <c r="G466" s="9"/>
      <c r="H466" s="9" t="s">
        <v>1179</v>
      </c>
      <c r="I466" s="16" t="s">
        <v>1180</v>
      </c>
      <c r="J466" s="5"/>
    </row>
    <row r="467" ht="15.75" customHeight="1">
      <c r="A467" s="19">
        <v>45231.0</v>
      </c>
      <c r="B467" s="7" t="str">
        <f>HYPERLINK("http://www.wennergren.org","Wenner Gren Foundation")</f>
        <v>Wenner Gren Foundation</v>
      </c>
      <c r="C467" s="9" t="s">
        <v>16</v>
      </c>
      <c r="D467" s="7" t="str">
        <f>HYPERLINK("http://www.wennergren.org/programs/post-phd-research-grants","Post-Ph.D. Research Grants")</f>
        <v>Post-Ph.D. Research Grants</v>
      </c>
      <c r="E467" s="18" t="s">
        <v>163</v>
      </c>
      <c r="F467" s="15" t="s">
        <v>90</v>
      </c>
      <c r="G467" s="15"/>
      <c r="H467" s="23" t="s">
        <v>517</v>
      </c>
      <c r="I467" s="16" t="s">
        <v>1181</v>
      </c>
      <c r="J467" s="5"/>
    </row>
    <row r="468" ht="15.75" customHeight="1">
      <c r="A468" s="19">
        <v>45231.0</v>
      </c>
      <c r="B468" s="7" t="str">
        <f>HYPERLINK("https://www.nctm.org/","National Council of Teachers of Mathematics")</f>
        <v>National Council of Teachers of Mathematics</v>
      </c>
      <c r="C468" s="8" t="s">
        <v>16</v>
      </c>
      <c r="D468" s="17" t="s">
        <v>1182</v>
      </c>
      <c r="E468" s="18" t="s">
        <v>306</v>
      </c>
      <c r="F468" s="9" t="s">
        <v>90</v>
      </c>
      <c r="G468" s="9"/>
      <c r="H468" s="9" t="s">
        <v>375</v>
      </c>
      <c r="I468" s="27" t="s">
        <v>1183</v>
      </c>
      <c r="J468" s="5"/>
    </row>
    <row r="469" ht="15.75" customHeight="1">
      <c r="A469" s="19">
        <v>45231.0</v>
      </c>
      <c r="B469" s="7" t="str">
        <f>HYPERLINK("http://teachpsych.org/","Society for the Teaching of Psychology")</f>
        <v>Society for the Teaching of Psychology</v>
      </c>
      <c r="C469" s="8" t="s">
        <v>16</v>
      </c>
      <c r="D469" s="7" t="str">
        <f>HYPERLINK("http://teachpsych.org/page-1557800","Scholarship of Teaching and Learning (SoTL) Research Grant")</f>
        <v>Scholarship of Teaching and Learning (SoTL) Research Grant</v>
      </c>
      <c r="E469" s="18" t="s">
        <v>235</v>
      </c>
      <c r="F469" s="18" t="s">
        <v>90</v>
      </c>
      <c r="G469" s="9"/>
      <c r="H469" s="23" t="s">
        <v>1184</v>
      </c>
      <c r="I469" s="27" t="s">
        <v>1185</v>
      </c>
      <c r="J469" s="5"/>
    </row>
    <row r="470" ht="15.75" customHeight="1">
      <c r="A470" s="19">
        <v>45231.0</v>
      </c>
      <c r="B470" s="7" t="str">
        <f>HYPERLINK("https://www.archaeological.org","Archaeological Institute of America")</f>
        <v>Archaeological Institute of America</v>
      </c>
      <c r="C470" s="8" t="s">
        <v>16</v>
      </c>
      <c r="D470" s="17" t="s">
        <v>1186</v>
      </c>
      <c r="E470" s="18" t="s">
        <v>163</v>
      </c>
      <c r="F470" s="9" t="s">
        <v>477</v>
      </c>
      <c r="G470" s="9"/>
      <c r="H470" s="23">
        <v>5000.0</v>
      </c>
      <c r="I470" s="27" t="s">
        <v>1187</v>
      </c>
      <c r="J470" s="5"/>
    </row>
    <row r="471" ht="15.75" customHeight="1">
      <c r="A471" s="19">
        <v>45236.0</v>
      </c>
      <c r="B471" s="7" t="str">
        <f>HYPERLINK("https://sarweb.org/","School for Advanced Research")</f>
        <v>School for Advanced Research</v>
      </c>
      <c r="C471" s="8" t="s">
        <v>16</v>
      </c>
      <c r="D471" s="7" t="str">
        <f>HYPERLINK("https://sarweb.org/scholars/resident/","Residential Scholars")</f>
        <v>Residential Scholars</v>
      </c>
      <c r="E471" s="18" t="s">
        <v>45</v>
      </c>
      <c r="F471" s="9" t="s">
        <v>34</v>
      </c>
      <c r="G471" s="9"/>
      <c r="H471" s="9"/>
      <c r="I471" s="27" t="s">
        <v>1188</v>
      </c>
      <c r="J471" s="5"/>
    </row>
    <row r="472" ht="15.75" customHeight="1">
      <c r="A472" s="19">
        <v>45233.0</v>
      </c>
      <c r="B472" s="7" t="str">
        <f>HYPERLINK("https://www.nsf.gov/","National Science Foundation")</f>
        <v>National Science Foundation</v>
      </c>
      <c r="C472" s="8" t="s">
        <v>41</v>
      </c>
      <c r="D472" s="7" t="str">
        <f>HYPERLINK("https://www.nsf.gov/funding/pgm_summ.jsp?pims_id=503622","Directorate for Biological Sciences Awards Postdoctoral Research Fellowships in Biology")</f>
        <v>Directorate for Biological Sciences Awards Postdoctoral Research Fellowships in Biology</v>
      </c>
      <c r="E472" s="18" t="s">
        <v>188</v>
      </c>
      <c r="F472" s="9" t="s">
        <v>66</v>
      </c>
      <c r="G472" s="9" t="s">
        <v>72</v>
      </c>
      <c r="H472" s="9"/>
      <c r="I472" s="27" t="s">
        <v>1189</v>
      </c>
      <c r="J472" s="5"/>
    </row>
    <row r="473" ht="15.75" customHeight="1">
      <c r="A473" s="19">
        <v>44505.0</v>
      </c>
      <c r="B473" s="7" t="str">
        <f>HYPERLINK("https://casbs.stanford.edu/","Center for Advance Study of Behavioral Science--Stanford")</f>
        <v>Center for Advance Study of Behavioral Science--Stanford</v>
      </c>
      <c r="C473" s="8" t="s">
        <v>10</v>
      </c>
      <c r="D473" s="17" t="s">
        <v>1190</v>
      </c>
      <c r="E473" s="18" t="s">
        <v>43</v>
      </c>
      <c r="F473" s="9" t="s">
        <v>34</v>
      </c>
      <c r="G473" s="9"/>
      <c r="H473" s="9" t="s">
        <v>1191</v>
      </c>
      <c r="I473" s="16" t="s">
        <v>1192</v>
      </c>
      <c r="J473" s="5"/>
    </row>
    <row r="474" ht="15.75" customHeight="1">
      <c r="A474" s="19">
        <v>44512.0</v>
      </c>
      <c r="B474" s="7" t="str">
        <f>HYPERLINK("https://classicalstudies.org/","Society for Classical Studies")</f>
        <v>Society for Classical Studies</v>
      </c>
      <c r="C474" s="8" t="s">
        <v>16</v>
      </c>
      <c r="D474" s="7" t="str">
        <f>HYPERLINK("https://classicalstudies.org/awards-and-fellowships/thesaurus-linguae-latinae-tll-fellowship","Thesaurus Linguae Latinae Fellowship")</f>
        <v>Thesaurus Linguae Latinae Fellowship</v>
      </c>
      <c r="E474" s="18" t="s">
        <v>93</v>
      </c>
      <c r="F474" s="9" t="s">
        <v>87</v>
      </c>
      <c r="G474" s="9"/>
      <c r="H474" s="23">
        <v>50400.0</v>
      </c>
      <c r="I474" s="16" t="s">
        <v>1193</v>
      </c>
      <c r="J474" s="5"/>
    </row>
    <row r="475" ht="15.75" customHeight="1">
      <c r="A475" s="19">
        <v>44515.0</v>
      </c>
      <c r="B475" s="7" t="str">
        <f t="shared" ref="B475:B476" si="37">HYPERLINK("http://www.huntington.org/","Huntington")</f>
        <v>Huntington</v>
      </c>
      <c r="C475" s="8" t="s">
        <v>49</v>
      </c>
      <c r="D475" s="17" t="s">
        <v>299</v>
      </c>
      <c r="E475" s="18" t="s">
        <v>45</v>
      </c>
      <c r="F475" s="9" t="s">
        <v>301</v>
      </c>
      <c r="G475" s="9"/>
      <c r="H475" s="9" t="s">
        <v>1194</v>
      </c>
      <c r="I475" s="16" t="s">
        <v>1195</v>
      </c>
      <c r="J475" s="5"/>
    </row>
    <row r="476" ht="15.75" customHeight="1">
      <c r="A476" s="19">
        <v>44515.0</v>
      </c>
      <c r="B476" s="7" t="str">
        <f t="shared" si="37"/>
        <v>Huntington</v>
      </c>
      <c r="C476" s="107" t="s">
        <v>49</v>
      </c>
      <c r="D476" s="108" t="str">
        <f>HYPERLINK("http://www.huntington.org/WebAssets/Templates/content.aspx?id=21991","Dibner Program in the History of Science")</f>
        <v>Dibner Program in the History of Science</v>
      </c>
      <c r="E476" s="18" t="s">
        <v>61</v>
      </c>
      <c r="F476" s="9" t="s">
        <v>301</v>
      </c>
      <c r="G476" s="9"/>
      <c r="H476" s="9" t="s">
        <v>1194</v>
      </c>
      <c r="I476" s="16" t="s">
        <v>1196</v>
      </c>
      <c r="J476" s="5"/>
    </row>
    <row r="477" ht="15.75" customHeight="1">
      <c r="A477" s="19">
        <v>45245.0</v>
      </c>
      <c r="B477" s="7" t="str">
        <f>HYPERLINK("https://www.nsf.gov/","National Science Foundation")</f>
        <v>National Science Foundation</v>
      </c>
      <c r="C477" s="8" t="s">
        <v>41</v>
      </c>
      <c r="D477" s="17" t="s">
        <v>1197</v>
      </c>
      <c r="E477" s="18" t="s">
        <v>77</v>
      </c>
      <c r="F477" s="9" t="s">
        <v>90</v>
      </c>
      <c r="G477" s="9"/>
      <c r="H477" s="9"/>
      <c r="I477" s="16" t="s">
        <v>1198</v>
      </c>
      <c r="J477" s="5"/>
    </row>
    <row r="478" ht="15.75" customHeight="1">
      <c r="A478" s="19">
        <v>44620.0</v>
      </c>
      <c r="B478" s="13" t="s">
        <v>1199</v>
      </c>
      <c r="C478" s="14" t="s">
        <v>16</v>
      </c>
      <c r="D478" s="13" t="s">
        <v>1200</v>
      </c>
      <c r="E478" s="6" t="s">
        <v>128</v>
      </c>
      <c r="F478" s="9"/>
      <c r="G478" s="9"/>
      <c r="H478" s="9"/>
      <c r="I478" s="16" t="s">
        <v>1201</v>
      </c>
      <c r="J478" s="5"/>
    </row>
    <row r="479" ht="15.75" customHeight="1">
      <c r="A479" s="19">
        <v>45031.0</v>
      </c>
      <c r="B479" s="13" t="s">
        <v>1202</v>
      </c>
      <c r="C479" s="14" t="s">
        <v>16</v>
      </c>
      <c r="D479" s="13" t="s">
        <v>1203</v>
      </c>
      <c r="E479" s="6" t="s">
        <v>128</v>
      </c>
      <c r="F479" s="9"/>
      <c r="G479" s="9"/>
      <c r="H479" s="9"/>
      <c r="I479" s="16" t="s">
        <v>1204</v>
      </c>
      <c r="J479" s="5"/>
    </row>
    <row r="480" ht="15.75" customHeight="1">
      <c r="A480" s="19">
        <v>45016.0</v>
      </c>
      <c r="B480" s="13" t="s">
        <v>1205</v>
      </c>
      <c r="C480" s="14" t="s">
        <v>16</v>
      </c>
      <c r="D480" s="13" t="s">
        <v>564</v>
      </c>
      <c r="E480" s="6" t="s">
        <v>128</v>
      </c>
      <c r="F480" s="9"/>
      <c r="G480" s="9"/>
      <c r="H480" s="9"/>
      <c r="I480" s="16" t="s">
        <v>1206</v>
      </c>
      <c r="J480" s="5"/>
    </row>
    <row r="481" ht="15.75" customHeight="1">
      <c r="A481" s="19">
        <v>44593.0</v>
      </c>
      <c r="B481" s="13" t="s">
        <v>1207</v>
      </c>
      <c r="C481" s="14" t="s">
        <v>16</v>
      </c>
      <c r="D481" s="13" t="s">
        <v>1208</v>
      </c>
      <c r="E481" s="6" t="s">
        <v>43</v>
      </c>
      <c r="F481" s="9"/>
      <c r="G481" s="9"/>
      <c r="H481" s="9"/>
      <c r="I481" s="16" t="s">
        <v>1209</v>
      </c>
      <c r="J481" s="5"/>
    </row>
    <row r="482" ht="15.75" customHeight="1">
      <c r="A482" s="19">
        <v>44593.0</v>
      </c>
      <c r="B482" s="13" t="s">
        <v>1210</v>
      </c>
      <c r="C482" s="14" t="s">
        <v>16</v>
      </c>
      <c r="D482" s="13" t="s">
        <v>1211</v>
      </c>
      <c r="E482" s="6" t="s">
        <v>1212</v>
      </c>
      <c r="F482" s="9"/>
      <c r="G482" s="9"/>
      <c r="H482" s="9"/>
      <c r="I482" s="16" t="s">
        <v>1213</v>
      </c>
      <c r="J482" s="5"/>
    </row>
    <row r="483" ht="15.75" customHeight="1">
      <c r="A483" s="19">
        <v>44515.0</v>
      </c>
      <c r="B483" s="7" t="str">
        <f>HYPERLINK("https://www.indiastudies.org/","American Institute for Indian Studies")</f>
        <v>American Institute for Indian Studies</v>
      </c>
      <c r="C483" s="8" t="s">
        <v>10</v>
      </c>
      <c r="D483" s="7" t="str">
        <f>HYPERLINK("http://www.indiastudies.org/research-fellowship-programs/categories-of-fellowship/","Research &amp; Senior Scholarly/Professional Development Fellowships")</f>
        <v>Research &amp; Senior Scholarly/Professional Development Fellowships</v>
      </c>
      <c r="E483" s="18" t="s">
        <v>429</v>
      </c>
      <c r="F483" s="9" t="s">
        <v>191</v>
      </c>
      <c r="G483" s="9" t="s">
        <v>1034</v>
      </c>
      <c r="H483" s="9" t="s">
        <v>1214</v>
      </c>
      <c r="I483" s="27" t="s">
        <v>1215</v>
      </c>
      <c r="J483" s="5"/>
    </row>
    <row r="484" ht="15.75" customHeight="1">
      <c r="A484" s="19">
        <v>44515.0</v>
      </c>
      <c r="B484" s="7" t="str">
        <f>HYPERLINK("https://asecsoffice.wixsite.com/asecsoffice","American Society for Eighteenth Century Studies (ASECS)")</f>
        <v>American Society for Eighteenth Century Studies (ASECS)</v>
      </c>
      <c r="C484" s="8" t="s">
        <v>10</v>
      </c>
      <c r="D484" s="7" t="s">
        <v>1216</v>
      </c>
      <c r="E484" s="18" t="s">
        <v>61</v>
      </c>
      <c r="F484" s="9" t="s">
        <v>138</v>
      </c>
      <c r="G484" s="9"/>
      <c r="H484" s="23">
        <v>1000.0</v>
      </c>
      <c r="I484" s="27" t="s">
        <v>1217</v>
      </c>
      <c r="J484" s="5"/>
    </row>
    <row r="485" ht="15.75" customHeight="1">
      <c r="A485" s="19">
        <v>45245.0</v>
      </c>
      <c r="B485" s="7" t="str">
        <f>HYPERLINK("https://www.sns.ias.edu/","Institute for Advanced Study (IAS), School of Natural Sciences")</f>
        <v>Institute for Advanced Study (IAS), School of Natural Sciences</v>
      </c>
      <c r="C485" s="8" t="s">
        <v>10</v>
      </c>
      <c r="D485" s="7" t="s">
        <v>1218</v>
      </c>
      <c r="E485" s="18" t="s">
        <v>77</v>
      </c>
      <c r="F485" s="9" t="s">
        <v>66</v>
      </c>
      <c r="G485" s="9"/>
      <c r="H485" s="9"/>
      <c r="I485" s="27" t="s">
        <v>1219</v>
      </c>
      <c r="J485" s="5"/>
    </row>
    <row r="486" ht="15.75" customHeight="1">
      <c r="A486" s="19">
        <v>45245.0</v>
      </c>
      <c r="B486" s="7" t="str">
        <f>HYPERLINK("https://www.nsf.gov/","National Science Foundation")</f>
        <v>National Science Foundation</v>
      </c>
      <c r="C486" s="8" t="s">
        <v>41</v>
      </c>
      <c r="D486" s="7" t="str">
        <f>HYPERLINK("https://www.nsf.gov/funding/pgm_summ.jsp?pims_id=13630","Astronomy and Astrophyics Grants")</f>
        <v>Astronomy and Astrophyics Grants</v>
      </c>
      <c r="E486" s="18" t="s">
        <v>106</v>
      </c>
      <c r="F486" s="9" t="s">
        <v>90</v>
      </c>
      <c r="G486" s="9"/>
      <c r="H486" s="9"/>
      <c r="I486" s="27" t="s">
        <v>1220</v>
      </c>
      <c r="J486" s="5"/>
    </row>
    <row r="487" ht="15.75" hidden="1" customHeight="1">
      <c r="A487" s="19">
        <v>44487.0</v>
      </c>
      <c r="B487" s="7" t="str">
        <f>HYPERLINK("https://www.eui.eu","European University Institute")</f>
        <v>European University Institute</v>
      </c>
      <c r="C487" s="8" t="s">
        <v>10</v>
      </c>
      <c r="D487" s="7" t="str">
        <f>HYPERLINK("https://www.eui.eu/ProgrammesAndFellowships/MaxWeberProgramme/AboutTheProgramme/AboutTheMWP","Max Weber Programme for Postdoctoral Studies Fellowship")</f>
        <v>Max Weber Programme for Postdoctoral Studies Fellowship</v>
      </c>
      <c r="E487" s="18" t="s">
        <v>45</v>
      </c>
      <c r="F487" s="9" t="s">
        <v>34</v>
      </c>
      <c r="G487" s="9" t="s">
        <v>276</v>
      </c>
      <c r="H487" s="109" t="s">
        <v>1221</v>
      </c>
      <c r="I487" s="27" t="s">
        <v>1222</v>
      </c>
      <c r="J487" s="5"/>
    </row>
    <row r="488" ht="15.75" customHeight="1">
      <c r="A488" s="21">
        <v>44516.0</v>
      </c>
      <c r="B488" s="7" t="str">
        <f>HYPERLINK("http://cupop.columbia.edu/","Columbia Population Research Center")</f>
        <v>Columbia Population Research Center</v>
      </c>
      <c r="C488" s="8" t="s">
        <v>10</v>
      </c>
      <c r="D488" s="7" t="str">
        <f>HYPERLINK("https://cprc.columbia.edu/content/seed-grant-program-guidelines","Seed Grant Program")</f>
        <v>Seed Grant Program</v>
      </c>
      <c r="E488" s="18" t="s">
        <v>77</v>
      </c>
      <c r="F488" s="9" t="s">
        <v>90</v>
      </c>
      <c r="G488" s="9"/>
      <c r="H488" s="23" t="s">
        <v>122</v>
      </c>
      <c r="I488" s="16" t="s">
        <v>1223</v>
      </c>
      <c r="J488" s="5"/>
    </row>
    <row r="489" ht="15.75" customHeight="1">
      <c r="A489" s="19">
        <v>44517.0</v>
      </c>
      <c r="B489" s="7" t="str">
        <f>HYPERLINK("https://naeducation.org/","National Academy of Education")</f>
        <v>National Academy of Education</v>
      </c>
      <c r="C489" s="8" t="s">
        <v>16</v>
      </c>
      <c r="D489" s="7" t="str">
        <f>HYPERLINK("https://naeducation.org/naedspencer-postdoctoral-fellowship-guidelines/","Postdoctoral Fellowship")</f>
        <v>Postdoctoral Fellowship</v>
      </c>
      <c r="E489" s="18" t="s">
        <v>742</v>
      </c>
      <c r="F489" s="9" t="s">
        <v>477</v>
      </c>
      <c r="G489" s="9" t="s">
        <v>47</v>
      </c>
      <c r="H489" s="9" t="s">
        <v>1224</v>
      </c>
      <c r="I489" s="16" t="s">
        <v>1225</v>
      </c>
      <c r="J489" s="5"/>
    </row>
    <row r="490" ht="15.75" customHeight="1">
      <c r="A490" s="19">
        <v>45245.0</v>
      </c>
      <c r="B490" s="7" t="str">
        <f>HYPERLINK("https://www.nsf.gov/","National Science Foundation")</f>
        <v>National Science Foundation</v>
      </c>
      <c r="C490" s="8" t="s">
        <v>41</v>
      </c>
      <c r="D490" s="7" t="str">
        <f>HYPERLINK("https://www.nsf.gov/funding/pgm_summ.jsp?pims_id=5269","Ecology and Evolution of Infectious Diseases")</f>
        <v>Ecology and Evolution of Infectious Diseases</v>
      </c>
      <c r="E490" s="18" t="s">
        <v>642</v>
      </c>
      <c r="F490" s="9" t="s">
        <v>90</v>
      </c>
      <c r="G490" s="9"/>
      <c r="H490" s="9"/>
      <c r="I490" s="27" t="s">
        <v>1226</v>
      </c>
      <c r="J490" s="5"/>
    </row>
    <row r="491" ht="15.75" customHeight="1">
      <c r="A491" s="19">
        <v>44520.0</v>
      </c>
      <c r="B491" s="7" t="str">
        <f>HYPERLINK("http://isaw.nyu.edu/","New York University Institute for Study of the Ancient World")</f>
        <v>New York University Institute for Study of the Ancient World</v>
      </c>
      <c r="C491" s="8" t="s">
        <v>10</v>
      </c>
      <c r="D491" s="7" t="s">
        <v>1227</v>
      </c>
      <c r="E491" s="18" t="s">
        <v>61</v>
      </c>
      <c r="F491" s="9" t="s">
        <v>34</v>
      </c>
      <c r="G491" s="9"/>
      <c r="H491" s="23">
        <v>71050.0</v>
      </c>
      <c r="I491" s="110" t="s">
        <v>1228</v>
      </c>
      <c r="J491" s="5"/>
    </row>
    <row r="492" ht="15.75" customHeight="1">
      <c r="A492" s="19">
        <v>44523.0</v>
      </c>
      <c r="B492" s="7" t="str">
        <f t="shared" ref="B492:B493" si="38">HYPERLINK("https://www.nsf.gov/","National Science Foundation")</f>
        <v>National Science Foundation</v>
      </c>
      <c r="C492" s="8" t="s">
        <v>41</v>
      </c>
      <c r="D492" s="7" t="str">
        <f>HYPERLINK("https://www.nsf.gov/funding/pgm_summ.jsp?pims_id=5147","Collaborative Research in Computational Neuroscience")</f>
        <v>Collaborative Research in Computational Neuroscience</v>
      </c>
      <c r="E492" s="18" t="s">
        <v>194</v>
      </c>
      <c r="F492" s="9" t="s">
        <v>90</v>
      </c>
      <c r="G492" s="9"/>
      <c r="H492" s="9"/>
      <c r="I492" s="16" t="s">
        <v>1229</v>
      </c>
      <c r="J492" s="5"/>
    </row>
    <row r="493" ht="15.75" customHeight="1">
      <c r="A493" s="19">
        <v>45250.0</v>
      </c>
      <c r="B493" s="7" t="str">
        <f t="shared" si="38"/>
        <v>National Science Foundation</v>
      </c>
      <c r="C493" s="8" t="s">
        <v>41</v>
      </c>
      <c r="D493" s="7" t="s">
        <v>1230</v>
      </c>
      <c r="E493" s="18" t="s">
        <v>106</v>
      </c>
      <c r="F493" s="9" t="s">
        <v>90</v>
      </c>
      <c r="G493" s="9"/>
      <c r="H493" s="9"/>
      <c r="I493" s="27" t="s">
        <v>1231</v>
      </c>
      <c r="J493" s="5"/>
    </row>
    <row r="494" ht="15.75" customHeight="1">
      <c r="A494" s="19">
        <v>45063.0</v>
      </c>
      <c r="B494" s="104" t="s">
        <v>1232</v>
      </c>
      <c r="C494" s="14" t="s">
        <v>16</v>
      </c>
      <c r="D494" s="13" t="s">
        <v>330</v>
      </c>
      <c r="E494" s="6" t="s">
        <v>477</v>
      </c>
      <c r="F494" s="50" t="s">
        <v>46</v>
      </c>
      <c r="G494" s="9"/>
      <c r="H494" s="23"/>
      <c r="I494" s="16" t="s">
        <v>1233</v>
      </c>
      <c r="J494" s="5"/>
    </row>
    <row r="495" ht="15.75" customHeight="1">
      <c r="A495" s="21">
        <v>44531.0</v>
      </c>
      <c r="B495" s="7" t="str">
        <f>HYPERLINK("https://www.amphilsoc.org/","American Philosophical Society")</f>
        <v>American Philosophical Society</v>
      </c>
      <c r="C495" s="8" t="s">
        <v>16</v>
      </c>
      <c r="D495" s="7" t="s">
        <v>1234</v>
      </c>
      <c r="E495" s="18" t="s">
        <v>128</v>
      </c>
      <c r="F495" s="9" t="s">
        <v>769</v>
      </c>
      <c r="G495" s="9"/>
      <c r="H495" s="9"/>
      <c r="I495" s="16" t="s">
        <v>1235</v>
      </c>
      <c r="J495" s="5"/>
    </row>
    <row r="496" ht="15.75" customHeight="1">
      <c r="A496" s="21">
        <v>44531.0</v>
      </c>
      <c r="B496" s="7" t="str">
        <f>HYPERLINK("http://www.aisls.org/","American Institute for Sri Lankan Studies")</f>
        <v>American Institute for Sri Lankan Studies</v>
      </c>
      <c r="C496" s="8" t="s">
        <v>10</v>
      </c>
      <c r="D496" s="7" t="str">
        <f>HYPERLINK("http://www.aisls.org/grants/aisls-fellowship-program/","Fellowship Program")</f>
        <v>Fellowship Program</v>
      </c>
      <c r="E496" s="18" t="s">
        <v>1070</v>
      </c>
      <c r="F496" s="9" t="s">
        <v>66</v>
      </c>
      <c r="G496" s="9"/>
      <c r="H496" s="23" t="s">
        <v>1236</v>
      </c>
      <c r="I496" s="16" t="s">
        <v>1237</v>
      </c>
      <c r="J496" s="5"/>
    </row>
    <row r="497" ht="15.75" customHeight="1">
      <c r="A497" s="19">
        <v>45261.0</v>
      </c>
      <c r="B497" s="104" t="s">
        <v>1238</v>
      </c>
      <c r="C497" s="14" t="s">
        <v>10</v>
      </c>
      <c r="D497" s="13" t="s">
        <v>1239</v>
      </c>
      <c r="E497" s="6" t="s">
        <v>128</v>
      </c>
      <c r="F497" s="50" t="s">
        <v>66</v>
      </c>
      <c r="G497" s="9"/>
      <c r="H497" s="111" t="s">
        <v>1240</v>
      </c>
      <c r="I497" s="16" t="s">
        <v>1241</v>
      </c>
      <c r="J497" s="106"/>
      <c r="K497" s="62"/>
      <c r="L497" s="62"/>
      <c r="M497" s="62"/>
      <c r="N497" s="62"/>
      <c r="O497" s="62"/>
      <c r="P497" s="62"/>
      <c r="Q497" s="62"/>
      <c r="R497" s="62"/>
      <c r="S497" s="62"/>
      <c r="T497" s="62"/>
      <c r="U497" s="62"/>
      <c r="V497" s="62"/>
      <c r="W497" s="62"/>
      <c r="X497" s="62"/>
      <c r="Y497" s="62"/>
      <c r="Z497" s="62"/>
    </row>
    <row r="498" ht="15.75" customHeight="1">
      <c r="A498" s="19">
        <v>44531.0</v>
      </c>
      <c r="B498" s="104" t="s">
        <v>1242</v>
      </c>
      <c r="C498" s="8" t="s">
        <v>10</v>
      </c>
      <c r="D498" s="7" t="str">
        <f>HYPERLINK("https://www.fu-berlin.de/en/sites/bprogram/application/index.html","Fellowship")</f>
        <v>Fellowship</v>
      </c>
      <c r="E498" s="18" t="s">
        <v>99</v>
      </c>
      <c r="F498" s="9" t="s">
        <v>34</v>
      </c>
      <c r="G498" s="9"/>
      <c r="H498" s="23">
        <v>20000.0</v>
      </c>
      <c r="I498" s="16" t="s">
        <v>1243</v>
      </c>
      <c r="J498" s="5"/>
    </row>
    <row r="499" ht="15.75" customHeight="1">
      <c r="A499" s="19">
        <v>44539.0</v>
      </c>
      <c r="B499" s="13" t="s">
        <v>1244</v>
      </c>
      <c r="C499" s="14" t="s">
        <v>16</v>
      </c>
      <c r="D499" s="13" t="s">
        <v>1245</v>
      </c>
      <c r="E499" s="6" t="s">
        <v>77</v>
      </c>
      <c r="F499" s="50" t="s">
        <v>66</v>
      </c>
      <c r="G499" s="9"/>
      <c r="H499" s="75">
        <v>50000.0</v>
      </c>
      <c r="I499" s="41" t="s">
        <v>1246</v>
      </c>
      <c r="J499" s="5"/>
    </row>
    <row r="500" ht="15.75" customHeight="1">
      <c r="A500" s="19">
        <v>44545.0</v>
      </c>
      <c r="B500" s="7" t="str">
        <f>HYPERLINK("https://www.aps.org/","American Physical Society")</f>
        <v>American Physical Society</v>
      </c>
      <c r="C500" s="8" t="s">
        <v>16</v>
      </c>
      <c r="D500" s="7" t="s">
        <v>1247</v>
      </c>
      <c r="E500" s="18" t="s">
        <v>106</v>
      </c>
      <c r="F500" s="9" t="s">
        <v>34</v>
      </c>
      <c r="G500" s="26"/>
      <c r="H500" s="9"/>
      <c r="I500" s="27" t="s">
        <v>1248</v>
      </c>
      <c r="J500" s="5"/>
    </row>
    <row r="501" ht="15.75" customHeight="1">
      <c r="A501" s="19">
        <v>45259.0</v>
      </c>
      <c r="B501" s="7" t="str">
        <f>HYPERLINK("https://www.neh.gov/","National Endowment for the Humanities")</f>
        <v>National Endowment for the Humanities</v>
      </c>
      <c r="C501" s="8" t="s">
        <v>41</v>
      </c>
      <c r="D501" s="7" t="s">
        <v>1249</v>
      </c>
      <c r="E501" s="18" t="s">
        <v>82</v>
      </c>
      <c r="F501" s="18" t="s">
        <v>90</v>
      </c>
      <c r="G501" s="18"/>
      <c r="H501" s="9"/>
      <c r="I501" s="27" t="s">
        <v>1250</v>
      </c>
      <c r="J501" s="5"/>
    </row>
    <row r="502" ht="15.75" customHeight="1">
      <c r="A502" s="19">
        <v>45275.0</v>
      </c>
      <c r="B502" s="7" t="str">
        <f>HYPERLINK("http://delmas.org/","Gladys Krieble Delmas Foundation")</f>
        <v>Gladys Krieble Delmas Foundation</v>
      </c>
      <c r="C502" s="8" t="s">
        <v>16</v>
      </c>
      <c r="D502" s="22" t="s">
        <v>1251</v>
      </c>
      <c r="E502" s="18" t="s">
        <v>99</v>
      </c>
      <c r="F502" s="9" t="s">
        <v>90</v>
      </c>
      <c r="G502" s="9"/>
      <c r="H502" s="9"/>
      <c r="I502" s="16" t="s">
        <v>1252</v>
      </c>
      <c r="J502" s="5"/>
    </row>
    <row r="503" ht="15.75" customHeight="1">
      <c r="A503" s="19">
        <v>45275.0</v>
      </c>
      <c r="B503" s="7" t="str">
        <f>HYPERLINK("https://gruber.yale.edu/","Gruber Foundation")</f>
        <v>Gruber Foundation</v>
      </c>
      <c r="C503" s="8" t="s">
        <v>16</v>
      </c>
      <c r="D503" s="7" t="s">
        <v>1253</v>
      </c>
      <c r="E503" s="18" t="s">
        <v>194</v>
      </c>
      <c r="F503" s="9" t="s">
        <v>138</v>
      </c>
      <c r="G503" s="9"/>
      <c r="H503" s="9"/>
      <c r="I503" s="27" t="s">
        <v>1254</v>
      </c>
      <c r="J503" s="5"/>
    </row>
    <row r="504" ht="15.75" customHeight="1">
      <c r="A504" s="19">
        <v>44545.0</v>
      </c>
      <c r="B504" s="7" t="str">
        <f>HYPERLINK("https://www.brown.edu/academics/libraries/john-carter-brown/","John Carter Brown Library")</f>
        <v>John Carter Brown Library</v>
      </c>
      <c r="C504" s="8" t="s">
        <v>10</v>
      </c>
      <c r="D504" s="7" t="str">
        <f>HYPERLINK("https://www.brown.edu/academics/libraries/john-carter-brown/fellowships/description-fellowship-program","Long-Term Fellowship")</f>
        <v>Long-Term Fellowship</v>
      </c>
      <c r="E504" s="18" t="s">
        <v>61</v>
      </c>
      <c r="F504" s="9" t="s">
        <v>87</v>
      </c>
      <c r="G504" s="9"/>
      <c r="H504" s="23" t="s">
        <v>1255</v>
      </c>
      <c r="I504" s="41" t="s">
        <v>1256</v>
      </c>
      <c r="J504" s="5"/>
    </row>
    <row r="505" ht="15.75" customHeight="1">
      <c r="A505" s="71">
        <v>44548.0</v>
      </c>
      <c r="B505" s="7" t="str">
        <f>HYPERLINK("https://clags.org/","CLAGS")</f>
        <v>CLAGS</v>
      </c>
      <c r="C505" s="8" t="s">
        <v>16</v>
      </c>
      <c r="D505" s="7" t="str">
        <f>HYPERLINK("https://clags.org/fellowships-and-awards3/#clagsfellowship","CLAGS Fellowship Award")</f>
        <v>CLAGS Fellowship Award</v>
      </c>
      <c r="E505" s="6" t="s">
        <v>1257</v>
      </c>
      <c r="F505" s="9" t="s">
        <v>66</v>
      </c>
      <c r="G505" s="9"/>
      <c r="H505" s="23">
        <v>2000.0</v>
      </c>
      <c r="I505" s="16" t="s">
        <v>1258</v>
      </c>
      <c r="J505" s="5"/>
    </row>
    <row r="506" ht="15.75" hidden="1" customHeight="1">
      <c r="A506" s="19">
        <v>44562.0</v>
      </c>
      <c r="B506" s="13" t="s">
        <v>1259</v>
      </c>
      <c r="C506" s="14" t="s">
        <v>41</v>
      </c>
      <c r="D506" s="13" t="s">
        <v>1260</v>
      </c>
      <c r="E506" s="6" t="s">
        <v>128</v>
      </c>
      <c r="F506" s="9"/>
      <c r="G506" s="9"/>
      <c r="H506" s="23"/>
      <c r="I506" s="16" t="s">
        <v>1261</v>
      </c>
      <c r="J506" s="5"/>
    </row>
    <row r="507" ht="15.75" customHeight="1">
      <c r="A507" s="19">
        <v>45303.0</v>
      </c>
      <c r="B507" s="13" t="s">
        <v>40</v>
      </c>
      <c r="C507" s="14" t="s">
        <v>41</v>
      </c>
      <c r="D507" s="104" t="s">
        <v>1262</v>
      </c>
      <c r="E507" s="6" t="s">
        <v>128</v>
      </c>
      <c r="F507" s="9"/>
      <c r="G507" s="9"/>
      <c r="H507" s="23"/>
      <c r="I507" s="16" t="s">
        <v>1263</v>
      </c>
      <c r="J507" s="5"/>
    </row>
    <row r="508" ht="15.75" customHeight="1">
      <c r="A508" s="19">
        <v>45306.0</v>
      </c>
      <c r="B508" s="7" t="str">
        <f>HYPERLINK("https://www.archaeological.org/","Archaeological Institute of America")</f>
        <v>Archaeological Institute of America</v>
      </c>
      <c r="C508" s="8" t="s">
        <v>16</v>
      </c>
      <c r="D508" s="112" t="s">
        <v>1264</v>
      </c>
      <c r="E508" s="18" t="s">
        <v>163</v>
      </c>
      <c r="F508" s="9" t="s">
        <v>191</v>
      </c>
      <c r="G508" s="9" t="s">
        <v>276</v>
      </c>
      <c r="H508" s="23">
        <v>5500.0</v>
      </c>
      <c r="I508" s="16" t="s">
        <v>1265</v>
      </c>
      <c r="J508" s="5"/>
    </row>
    <row r="509" ht="15.75" customHeight="1">
      <c r="A509" s="113">
        <v>45043.0</v>
      </c>
      <c r="B509" s="13" t="s">
        <v>1266</v>
      </c>
      <c r="C509" s="14" t="s">
        <v>16</v>
      </c>
      <c r="D509" s="13" t="s">
        <v>1267</v>
      </c>
      <c r="E509" s="6" t="s">
        <v>742</v>
      </c>
      <c r="F509" s="15"/>
      <c r="G509" s="15"/>
      <c r="H509" s="9"/>
      <c r="I509" s="16" t="s">
        <v>1268</v>
      </c>
      <c r="J509" s="5"/>
    </row>
    <row r="510" ht="15.75" customHeight="1">
      <c r="A510" s="113">
        <v>45108.0</v>
      </c>
      <c r="B510" s="7" t="str">
        <f>HYPERLINK("https://sites.duke.edu/broadfoundation","Ruth K. Broad Foundation")</f>
        <v>Ruth K. Broad Foundation</v>
      </c>
      <c r="C510" s="8" t="s">
        <v>16</v>
      </c>
      <c r="D510" s="7" t="s">
        <v>1269</v>
      </c>
      <c r="E510" s="18" t="s">
        <v>1270</v>
      </c>
      <c r="F510" s="15" t="s">
        <v>83</v>
      </c>
      <c r="G510" s="15"/>
      <c r="H510" s="9"/>
      <c r="I510" s="16" t="s">
        <v>1271</v>
      </c>
      <c r="J510" s="5"/>
    </row>
    <row r="511" ht="15.75" customHeight="1">
      <c r="A511" s="19">
        <v>44939.0</v>
      </c>
      <c r="B511" s="13" t="s">
        <v>1272</v>
      </c>
      <c r="C511" s="14" t="s">
        <v>16</v>
      </c>
      <c r="D511" s="13" t="s">
        <v>414</v>
      </c>
      <c r="E511" s="6"/>
      <c r="F511" s="9"/>
      <c r="G511" s="15"/>
      <c r="H511" s="23"/>
      <c r="I511" s="99" t="s">
        <v>1273</v>
      </c>
      <c r="J511" s="5"/>
    </row>
    <row r="512" ht="15.75" customHeight="1">
      <c r="A512" s="19">
        <v>44607.0</v>
      </c>
      <c r="B512" s="22" t="s">
        <v>1274</v>
      </c>
      <c r="C512" s="14" t="s">
        <v>16</v>
      </c>
      <c r="D512" s="47" t="s">
        <v>1275</v>
      </c>
      <c r="E512" s="6" t="s">
        <v>1276</v>
      </c>
      <c r="F512" s="9"/>
      <c r="G512" s="15"/>
      <c r="H512" s="23"/>
      <c r="I512" s="102" t="s">
        <v>1277</v>
      </c>
      <c r="J512" s="5"/>
    </row>
    <row r="513" ht="15.75" customHeight="1">
      <c r="A513" s="19">
        <v>44607.0</v>
      </c>
      <c r="B513" s="22" t="s">
        <v>1274</v>
      </c>
      <c r="C513" s="14" t="s">
        <v>16</v>
      </c>
      <c r="D513" s="22" t="s">
        <v>1278</v>
      </c>
      <c r="E513" s="6" t="s">
        <v>1276</v>
      </c>
      <c r="F513" s="9"/>
      <c r="G513" s="15"/>
      <c r="H513" s="23"/>
      <c r="I513" s="102" t="s">
        <v>1279</v>
      </c>
      <c r="J513" s="5"/>
    </row>
    <row r="514" ht="15.75" customHeight="1">
      <c r="A514" s="19">
        <v>44932.0</v>
      </c>
      <c r="B514" s="22" t="s">
        <v>1280</v>
      </c>
      <c r="C514" s="14" t="s">
        <v>10</v>
      </c>
      <c r="D514" s="22" t="s">
        <v>1281</v>
      </c>
      <c r="E514" s="6"/>
      <c r="F514" s="9"/>
      <c r="G514" s="15"/>
      <c r="H514" s="23"/>
      <c r="I514" s="102" t="s">
        <v>1282</v>
      </c>
      <c r="J514" s="5"/>
    </row>
    <row r="515" ht="15.75" customHeight="1">
      <c r="A515" s="19">
        <v>44938.0</v>
      </c>
      <c r="B515" s="47" t="s">
        <v>40</v>
      </c>
      <c r="C515" s="14" t="s">
        <v>16</v>
      </c>
      <c r="D515" s="22" t="s">
        <v>1283</v>
      </c>
      <c r="E515" s="6"/>
      <c r="F515" s="9"/>
      <c r="G515" s="15"/>
      <c r="H515" s="23"/>
      <c r="I515" s="102" t="s">
        <v>1284</v>
      </c>
      <c r="J515" s="5"/>
    </row>
    <row r="516" ht="15.75" customHeight="1">
      <c r="A516" s="19">
        <v>44938.0</v>
      </c>
      <c r="B516" s="22" t="s">
        <v>40</v>
      </c>
      <c r="C516" s="14" t="s">
        <v>16</v>
      </c>
      <c r="D516" s="22" t="s">
        <v>1285</v>
      </c>
      <c r="E516" s="6"/>
      <c r="F516" s="9"/>
      <c r="G516" s="15"/>
      <c r="H516" s="23"/>
      <c r="I516" s="102" t="s">
        <v>1286</v>
      </c>
      <c r="J516" s="5"/>
    </row>
    <row r="517" ht="15.75" customHeight="1">
      <c r="A517" s="19">
        <v>45062.0</v>
      </c>
      <c r="B517" s="22" t="s">
        <v>40</v>
      </c>
      <c r="C517" s="14" t="s">
        <v>16</v>
      </c>
      <c r="D517" s="22" t="s">
        <v>1287</v>
      </c>
      <c r="E517" s="6"/>
      <c r="F517" s="9"/>
      <c r="G517" s="15"/>
      <c r="H517" s="23"/>
      <c r="I517" s="102" t="s">
        <v>1288</v>
      </c>
      <c r="J517" s="5"/>
    </row>
    <row r="518" ht="15.75" customHeight="1">
      <c r="A518" s="19">
        <v>44805.0</v>
      </c>
      <c r="B518" s="22" t="s">
        <v>1289</v>
      </c>
      <c r="C518" s="14" t="s">
        <v>1290</v>
      </c>
      <c r="D518" s="22" t="s">
        <v>46</v>
      </c>
      <c r="E518" s="6" t="s">
        <v>1276</v>
      </c>
      <c r="F518" s="9"/>
      <c r="G518" s="15"/>
      <c r="H518" s="23"/>
      <c r="I518" s="102" t="s">
        <v>1291</v>
      </c>
      <c r="J518" s="5"/>
    </row>
    <row r="519" ht="15.75" customHeight="1">
      <c r="A519" s="19">
        <v>44609.0</v>
      </c>
      <c r="B519" s="17" t="s">
        <v>1292</v>
      </c>
      <c r="C519" s="14" t="s">
        <v>10</v>
      </c>
      <c r="D519" s="13" t="s">
        <v>666</v>
      </c>
      <c r="E519" s="6" t="s">
        <v>128</v>
      </c>
      <c r="F519" s="9"/>
      <c r="G519" s="15"/>
      <c r="H519" s="23"/>
      <c r="I519" s="16" t="s">
        <v>1293</v>
      </c>
      <c r="J519" s="5"/>
    </row>
    <row r="520" ht="15.75" customHeight="1">
      <c r="A520" s="19">
        <v>44593.0</v>
      </c>
      <c r="B520" s="7" t="str">
        <f>HYPERLINK("https://www.acorjordan.org/","American Center of Oriental Research")</f>
        <v>American Center of Oriental Research</v>
      </c>
      <c r="C520" s="8" t="s">
        <v>41</v>
      </c>
      <c r="D520" s="7" t="str">
        <f>HYPERLINK("https://www.acorjordan.org/neh-fellowship/","Research Fellowships")</f>
        <v>Research Fellowships</v>
      </c>
      <c r="E520" s="18" t="s">
        <v>45</v>
      </c>
      <c r="F520" s="9" t="s">
        <v>66</v>
      </c>
      <c r="G520" s="15"/>
      <c r="H520" s="23">
        <v>25200.0</v>
      </c>
      <c r="I520" s="16" t="s">
        <v>1294</v>
      </c>
      <c r="J520" s="5"/>
    </row>
    <row r="521" ht="15.75" customHeight="1">
      <c r="A521" s="19">
        <v>44593.0</v>
      </c>
      <c r="B521" s="7" t="str">
        <f>HYPERLINK("http://teachpsych.org/","Society for the Teaching of Psychology")</f>
        <v>Society for the Teaching of Psychology</v>
      </c>
      <c r="C521" s="8" t="s">
        <v>16</v>
      </c>
      <c r="D521" s="7" t="str">
        <f>HYPERLINK("http://teachpsych.org/page-1610198","Instructional Resource Awards")</f>
        <v>Instructional Resource Awards</v>
      </c>
      <c r="E521" s="18" t="s">
        <v>235</v>
      </c>
      <c r="F521" s="18" t="s">
        <v>90</v>
      </c>
      <c r="G521" s="9"/>
      <c r="H521" s="23" t="s">
        <v>1295</v>
      </c>
      <c r="I521" s="16" t="s">
        <v>1296</v>
      </c>
      <c r="J521" s="5"/>
    </row>
    <row r="522" ht="15.75" customHeight="1">
      <c r="A522" s="19">
        <v>45337.0</v>
      </c>
      <c r="B522" s="7" t="str">
        <f>HYPERLINK("http://www.klingfund.org/index.php","Esther A. &amp; Joseph Klingenstein Fund")</f>
        <v>Esther A. &amp; Joseph Klingenstein Fund</v>
      </c>
      <c r="C522" s="8" t="s">
        <v>10</v>
      </c>
      <c r="D522" s="17" t="s">
        <v>1297</v>
      </c>
      <c r="E522" s="18" t="s">
        <v>77</v>
      </c>
      <c r="F522" s="18" t="s">
        <v>1298</v>
      </c>
      <c r="G522" s="18" t="s">
        <v>72</v>
      </c>
      <c r="H522" s="9" t="s">
        <v>1299</v>
      </c>
      <c r="I522" s="16" t="s">
        <v>1300</v>
      </c>
      <c r="J522" s="5"/>
    </row>
    <row r="523" ht="15.75" customHeight="1">
      <c r="A523" s="19">
        <v>45156.0</v>
      </c>
      <c r="B523" s="7" t="str">
        <f t="shared" ref="B523:B525" si="39">HYPERLINK("https://www.nsf.gov/","National Science Foundation")</f>
        <v>National Science Foundation</v>
      </c>
      <c r="C523" s="14" t="s">
        <v>41</v>
      </c>
      <c r="D523" s="13" t="s">
        <v>1301</v>
      </c>
      <c r="E523" s="6" t="s">
        <v>474</v>
      </c>
      <c r="F523" s="18"/>
      <c r="G523" s="18"/>
      <c r="H523" s="9"/>
      <c r="I523" s="16" t="s">
        <v>1302</v>
      </c>
      <c r="J523" s="5"/>
    </row>
    <row r="524" ht="15.75" customHeight="1">
      <c r="A524" s="19">
        <v>45153.0</v>
      </c>
      <c r="B524" s="7" t="str">
        <f t="shared" si="39"/>
        <v>National Science Foundation</v>
      </c>
      <c r="C524" s="14" t="s">
        <v>41</v>
      </c>
      <c r="D524" s="13" t="s">
        <v>1303</v>
      </c>
      <c r="E524" s="6" t="s">
        <v>474</v>
      </c>
      <c r="F524" s="18"/>
      <c r="G524" s="18"/>
      <c r="H524" s="9"/>
      <c r="I524" s="16" t="s">
        <v>1304</v>
      </c>
      <c r="J524" s="5"/>
    </row>
    <row r="525" ht="15.75" customHeight="1">
      <c r="A525" s="19">
        <v>45344.0</v>
      </c>
      <c r="B525" s="7" t="str">
        <f t="shared" si="39"/>
        <v>National Science Foundation</v>
      </c>
      <c r="C525" s="8" t="s">
        <v>41</v>
      </c>
      <c r="D525" s="13" t="s">
        <v>1305</v>
      </c>
      <c r="E525" s="18" t="s">
        <v>77</v>
      </c>
      <c r="F525" s="18" t="s">
        <v>90</v>
      </c>
      <c r="G525" s="18"/>
      <c r="H525" s="9"/>
      <c r="I525" s="16" t="s">
        <v>1306</v>
      </c>
      <c r="J525" s="5"/>
    </row>
    <row r="526" ht="15.75" customHeight="1">
      <c r="A526" s="19">
        <v>45351.0</v>
      </c>
      <c r="B526" s="7" t="str">
        <f>HYPERLINK("http://www.arsc-audio.org/","Association for Recorded Sound Collections (ARSC)")</f>
        <v>Association for Recorded Sound Collections (ARSC)</v>
      </c>
      <c r="C526" s="8" t="s">
        <v>16</v>
      </c>
      <c r="D526" s="7" t="str">
        <f>HYPERLINK("http://www.arsc-audio.org/committees/grant-programs.html","Research grants")</f>
        <v>Research grants</v>
      </c>
      <c r="E526" s="18" t="s">
        <v>419</v>
      </c>
      <c r="F526" s="9" t="s">
        <v>143</v>
      </c>
      <c r="G526" s="9"/>
      <c r="H526" s="23">
        <v>1000.0</v>
      </c>
      <c r="I526" s="16" t="s">
        <v>1307</v>
      </c>
      <c r="J526" s="5"/>
    </row>
    <row r="527" ht="15.75" customHeight="1">
      <c r="A527" s="19">
        <v>44666.0</v>
      </c>
      <c r="B527" s="17" t="s">
        <v>1308</v>
      </c>
      <c r="C527" s="8" t="s">
        <v>16</v>
      </c>
      <c r="D527" s="7" t="str">
        <f>HYPERLINK("http://librarycompany.org/academic-programs/fellowships/application/","Mellon Scholars Fellowship Program")</f>
        <v>Mellon Scholars Fellowship Program</v>
      </c>
      <c r="E527" s="18" t="s">
        <v>61</v>
      </c>
      <c r="F527" s="9" t="s">
        <v>34</v>
      </c>
      <c r="G527" s="9"/>
      <c r="H527" s="9" t="s">
        <v>1309</v>
      </c>
      <c r="I527" s="27" t="s">
        <v>1310</v>
      </c>
      <c r="J527" s="5"/>
    </row>
    <row r="528" ht="15.75" customHeight="1">
      <c r="A528" s="19">
        <v>45184.0</v>
      </c>
      <c r="B528" s="7" t="str">
        <f>HYPERLINK("https://oead.at/de/","OEAD, Austria")</f>
        <v>OEAD, Austria</v>
      </c>
      <c r="C528" s="18" t="s">
        <v>16</v>
      </c>
      <c r="D528" s="7" t="str">
        <f>HYPERLINK("https://oead.at/de/nach-oesterreich/stipendien/franz-werfel-stipendium/","Franz Werfel Scholarship")</f>
        <v>Franz Werfel Scholarship</v>
      </c>
      <c r="E528" s="18" t="s">
        <v>1168</v>
      </c>
      <c r="F528" s="18" t="s">
        <v>301</v>
      </c>
      <c r="G528" s="18" t="s">
        <v>72</v>
      </c>
      <c r="H528" s="18" t="s">
        <v>1311</v>
      </c>
      <c r="I528" s="58" t="s">
        <v>1312</v>
      </c>
      <c r="J528" s="5"/>
    </row>
    <row r="529" ht="15.75" customHeight="1">
      <c r="A529" s="19">
        <v>44621.0</v>
      </c>
      <c r="B529" s="7" t="str">
        <f>HYPERLINK("https://www.neh.gov/","National Endowment for the Humanitites")</f>
        <v>National Endowment for the Humanitites</v>
      </c>
      <c r="C529" s="8" t="s">
        <v>41</v>
      </c>
      <c r="D529" s="7" t="s">
        <v>1313</v>
      </c>
      <c r="E529" s="18" t="s">
        <v>82</v>
      </c>
      <c r="F529" s="9" t="s">
        <v>371</v>
      </c>
      <c r="G529" s="9"/>
      <c r="H529" s="9" t="s">
        <v>1314</v>
      </c>
      <c r="I529" s="27" t="s">
        <v>1315</v>
      </c>
      <c r="J529" s="5"/>
    </row>
    <row r="530" ht="15.75" customHeight="1">
      <c r="A530" s="19">
        <v>44651.0</v>
      </c>
      <c r="B530" s="17" t="s">
        <v>1316</v>
      </c>
      <c r="C530" s="8" t="s">
        <v>10</v>
      </c>
      <c r="D530" s="17" t="s">
        <v>1317</v>
      </c>
      <c r="E530" s="18" t="s">
        <v>99</v>
      </c>
      <c r="F530" s="15" t="s">
        <v>1318</v>
      </c>
      <c r="G530" s="15"/>
      <c r="H530" s="9" t="s">
        <v>218</v>
      </c>
      <c r="I530" s="90" t="s">
        <v>1319</v>
      </c>
      <c r="J530" s="5"/>
    </row>
    <row r="531" ht="15.75" customHeight="1">
      <c r="A531" s="19">
        <v>44627.0</v>
      </c>
      <c r="B531" s="7" t="str">
        <f>HYPERLINK("https://www.marybakereddylibrary.org/","Mary Baker Eddy Library")</f>
        <v>Mary Baker Eddy Library</v>
      </c>
      <c r="C531" s="8" t="s">
        <v>49</v>
      </c>
      <c r="D531" s="7" t="str">
        <f>HYPERLINK("https://www.marybakereddylibrary.org/research/fellows/","Fellowship Program ")</f>
        <v>Fellowship Program </v>
      </c>
      <c r="E531" s="18" t="s">
        <v>796</v>
      </c>
      <c r="F531" s="15" t="s">
        <v>34</v>
      </c>
      <c r="G531" s="15"/>
      <c r="H531" s="86"/>
      <c r="I531" s="27" t="s">
        <v>1320</v>
      </c>
      <c r="J531" s="5"/>
    </row>
    <row r="532" ht="15.75" customHeight="1">
      <c r="A532" s="21">
        <v>44600.0</v>
      </c>
      <c r="B532" s="7" t="str">
        <f>HYPERLINK("http://www.aiys.org/","American Institute for Yemeni Studies")</f>
        <v>American Institute for Yemeni Studies</v>
      </c>
      <c r="C532" s="8" t="s">
        <v>10</v>
      </c>
      <c r="D532" s="7" t="str">
        <f>HYPERLINK("https://www.aiys.org/fellowships","Fellowships for Study and Research in Yemen")</f>
        <v>Fellowships for Study and Research in Yemen</v>
      </c>
      <c r="E532" s="18" t="s">
        <v>24</v>
      </c>
      <c r="F532" s="9" t="s">
        <v>87</v>
      </c>
      <c r="G532" s="9" t="s">
        <v>1321</v>
      </c>
      <c r="H532" s="23">
        <v>6000.0</v>
      </c>
      <c r="I532" s="41" t="s">
        <v>1322</v>
      </c>
      <c r="J532" s="5"/>
    </row>
    <row r="533" ht="15.75" customHeight="1">
      <c r="A533" s="19">
        <v>44666.0</v>
      </c>
      <c r="B533" s="7" t="str">
        <f>HYPERLINK("http://www.bfny.org/","Bogliasco Foundation")</f>
        <v>Bogliasco Foundation</v>
      </c>
      <c r="C533" s="8" t="s">
        <v>16</v>
      </c>
      <c r="D533" s="17" t="s">
        <v>1323</v>
      </c>
      <c r="E533" s="18" t="s">
        <v>233</v>
      </c>
      <c r="F533" s="18" t="s">
        <v>34</v>
      </c>
      <c r="G533" s="18"/>
      <c r="H533" s="9" t="s">
        <v>1324</v>
      </c>
      <c r="I533" s="16" t="s">
        <v>1325</v>
      </c>
      <c r="J533" s="5"/>
    </row>
    <row r="534" ht="15.75" customHeight="1">
      <c r="A534" s="19">
        <v>44682.0</v>
      </c>
      <c r="B534" s="7" t="str">
        <f>HYPERLINK("http://www.apa.org/apf/","American Psychological Association")</f>
        <v>American Psychological Association</v>
      </c>
      <c r="C534" s="8" t="s">
        <v>16</v>
      </c>
      <c r="D534" s="7" t="s">
        <v>1326</v>
      </c>
      <c r="E534" s="18" t="s">
        <v>77</v>
      </c>
      <c r="F534" s="15" t="s">
        <v>138</v>
      </c>
      <c r="G534" s="15"/>
      <c r="H534" s="9"/>
      <c r="I534" s="16" t="s">
        <v>1327</v>
      </c>
      <c r="J534" s="5"/>
    </row>
    <row r="535" ht="15.75" customHeight="1">
      <c r="A535" s="19">
        <v>45062.0</v>
      </c>
      <c r="B535" s="13" t="s">
        <v>40</v>
      </c>
      <c r="C535" s="14" t="s">
        <v>41</v>
      </c>
      <c r="D535" s="13" t="s">
        <v>1328</v>
      </c>
      <c r="E535" s="6" t="s">
        <v>128</v>
      </c>
      <c r="F535" s="50" t="s">
        <v>138</v>
      </c>
      <c r="G535" s="9"/>
      <c r="H535" s="75"/>
      <c r="I535" s="53" t="s">
        <v>1329</v>
      </c>
      <c r="J535" s="5"/>
    </row>
    <row r="536" ht="15.75" customHeight="1">
      <c r="A536" s="19">
        <v>45120.0</v>
      </c>
      <c r="B536" s="22" t="s">
        <v>124</v>
      </c>
      <c r="C536" s="14" t="s">
        <v>41</v>
      </c>
      <c r="D536" s="22" t="s">
        <v>1330</v>
      </c>
      <c r="E536" s="6" t="s">
        <v>474</v>
      </c>
      <c r="F536" s="50"/>
      <c r="G536" s="9"/>
      <c r="H536" s="75"/>
      <c r="I536" s="53" t="s">
        <v>1331</v>
      </c>
      <c r="J536" s="5"/>
    </row>
    <row r="537" ht="15.75" customHeight="1">
      <c r="A537" s="19">
        <v>45062.0</v>
      </c>
      <c r="B537" s="13" t="s">
        <v>40</v>
      </c>
      <c r="C537" s="14" t="s">
        <v>41</v>
      </c>
      <c r="D537" s="13" t="s">
        <v>1332</v>
      </c>
      <c r="E537" s="6" t="s">
        <v>128</v>
      </c>
      <c r="F537" s="50" t="s">
        <v>138</v>
      </c>
      <c r="G537" s="9"/>
      <c r="H537" s="75" t="s">
        <v>1333</v>
      </c>
      <c r="I537" s="53" t="s">
        <v>1334</v>
      </c>
      <c r="J537" s="5"/>
    </row>
    <row r="538" ht="15.75" customHeight="1">
      <c r="A538" s="6" t="s">
        <v>1335</v>
      </c>
      <c r="B538" s="22" t="s">
        <v>124</v>
      </c>
      <c r="C538" s="14" t="s">
        <v>41</v>
      </c>
      <c r="D538" s="22" t="s">
        <v>1336</v>
      </c>
      <c r="E538" s="6" t="s">
        <v>474</v>
      </c>
      <c r="F538" s="50"/>
      <c r="G538" s="9"/>
      <c r="H538" s="111"/>
      <c r="I538" s="53" t="s">
        <v>1337</v>
      </c>
      <c r="J538" s="5"/>
    </row>
    <row r="539" ht="15.75" customHeight="1">
      <c r="A539" s="19">
        <v>45062.0</v>
      </c>
      <c r="B539" s="22" t="s">
        <v>40</v>
      </c>
      <c r="C539" s="14" t="s">
        <v>41</v>
      </c>
      <c r="D539" s="13" t="s">
        <v>1338</v>
      </c>
      <c r="E539" s="6" t="s">
        <v>128</v>
      </c>
      <c r="F539" s="50" t="s">
        <v>138</v>
      </c>
      <c r="G539" s="9"/>
      <c r="H539" s="111" t="s">
        <v>1339</v>
      </c>
      <c r="I539" s="53" t="s">
        <v>1340</v>
      </c>
      <c r="J539" s="5"/>
    </row>
    <row r="540" ht="15.75" customHeight="1">
      <c r="A540" s="19">
        <v>44742.0</v>
      </c>
      <c r="B540" s="13" t="s">
        <v>1341</v>
      </c>
      <c r="C540" s="14" t="s">
        <v>1342</v>
      </c>
      <c r="D540" s="13" t="s">
        <v>1343</v>
      </c>
      <c r="E540" s="6" t="s">
        <v>128</v>
      </c>
      <c r="F540" s="50" t="s">
        <v>138</v>
      </c>
      <c r="G540" s="9"/>
      <c r="H540" s="23"/>
      <c r="I540" s="53" t="s">
        <v>1344</v>
      </c>
      <c r="J540" s="5"/>
    </row>
    <row r="541" ht="15.75" customHeight="1">
      <c r="A541" s="19">
        <v>45231.0</v>
      </c>
      <c r="B541" s="7" t="str">
        <f>HYPERLINK("https://www.archaeological.org","Archaeological Institute of America")</f>
        <v>Archaeological Institute of America</v>
      </c>
      <c r="C541" s="8" t="s">
        <v>16</v>
      </c>
      <c r="D541" s="7" t="str">
        <f>HYPERLINK("https://www.archaeological.org/grant/woodruff-fellowship/","Helen M. Woodruff Fellowship of the AIA and the American Academy in Rome")</f>
        <v>Helen M. Woodruff Fellowship of the AIA and the American Academy in Rome</v>
      </c>
      <c r="E541" s="18" t="s">
        <v>577</v>
      </c>
      <c r="F541" s="9" t="s">
        <v>34</v>
      </c>
      <c r="G541" s="9"/>
      <c r="H541" s="23">
        <v>10000.0</v>
      </c>
      <c r="I541" s="53" t="s">
        <v>1345</v>
      </c>
      <c r="J541" s="5"/>
    </row>
    <row r="542" ht="15.75" customHeight="1">
      <c r="A542" s="28">
        <v>44672.0</v>
      </c>
      <c r="B542" s="114" t="str">
        <f>HYPERLINK("ihr.asu.edu/","Arizona State Institute for Humanities Research")</f>
        <v>Arizona State Institute for Humanities Research</v>
      </c>
      <c r="C542" s="8" t="s">
        <v>10</v>
      </c>
      <c r="D542" s="7" t="str">
        <f>HYPERLINK("https://ihr.asu.edu/fellows","Visiting Fellows Program")</f>
        <v>Visiting Fellows Program</v>
      </c>
      <c r="E542" s="18" t="s">
        <v>1346</v>
      </c>
      <c r="F542" s="9" t="s">
        <v>66</v>
      </c>
      <c r="G542" s="9" t="s">
        <v>1347</v>
      </c>
      <c r="H542" s="23"/>
      <c r="I542" s="16" t="s">
        <v>1348</v>
      </c>
      <c r="J542" s="5"/>
    </row>
    <row r="543" ht="15.75" customHeight="1">
      <c r="A543" s="6" t="s">
        <v>1349</v>
      </c>
      <c r="B543" s="7" t="str">
        <f>HYPERLINK("https://journalism.columbia.edu","Columbia Journalism School")</f>
        <v>Columbia Journalism School</v>
      </c>
      <c r="C543" s="8" t="s">
        <v>10</v>
      </c>
      <c r="D543" s="7" t="s">
        <v>1350</v>
      </c>
      <c r="E543" s="18" t="s">
        <v>45</v>
      </c>
      <c r="F543" s="9" t="s">
        <v>1351</v>
      </c>
      <c r="G543" s="9" t="s">
        <v>1351</v>
      </c>
      <c r="H543" s="9" t="s">
        <v>1351</v>
      </c>
      <c r="I543" s="115" t="s">
        <v>1352</v>
      </c>
      <c r="J543" s="5"/>
    </row>
    <row r="544" ht="15.75" customHeight="1">
      <c r="A544" s="18" t="s">
        <v>1353</v>
      </c>
      <c r="B544" s="116" t="s">
        <v>1354</v>
      </c>
      <c r="C544" s="8" t="s">
        <v>16</v>
      </c>
      <c r="D544" s="22" t="s">
        <v>1355</v>
      </c>
      <c r="E544" s="18" t="s">
        <v>1065</v>
      </c>
      <c r="F544" s="9" t="s">
        <v>66</v>
      </c>
      <c r="G544" s="9"/>
      <c r="H544" s="23"/>
      <c r="I544" s="27" t="s">
        <v>1356</v>
      </c>
      <c r="J544" s="5"/>
    </row>
    <row r="545" ht="15.75" customHeight="1">
      <c r="A545" s="29" t="s">
        <v>1353</v>
      </c>
      <c r="B545" s="7" t="str">
        <f>HYPERLINK("http://www.teaglefoundation.org","Teagle Foundation")</f>
        <v>Teagle Foundation</v>
      </c>
      <c r="C545" s="8" t="s">
        <v>16</v>
      </c>
      <c r="D545" s="7" t="str">
        <f>HYPERLINK("http://www.teaglefoundation.org/Grants-Initiatives/How-We-Grant","Grants")</f>
        <v>Grants</v>
      </c>
      <c r="E545" s="18" t="s">
        <v>45</v>
      </c>
      <c r="F545" s="9" t="s">
        <v>437</v>
      </c>
      <c r="G545" s="9"/>
      <c r="H545" s="9" t="s">
        <v>804</v>
      </c>
      <c r="I545" s="27" t="s">
        <v>1357</v>
      </c>
      <c r="J545" s="5"/>
    </row>
    <row r="546" ht="15.75" customHeight="1">
      <c r="A546" s="29" t="s">
        <v>1353</v>
      </c>
      <c r="B546" s="7" t="str">
        <f>HYPERLINK("https://www.whiting.org/","Whiting Foundation")</f>
        <v>Whiting Foundation</v>
      </c>
      <c r="C546" s="8" t="s">
        <v>16</v>
      </c>
      <c r="D546" s="7" t="s">
        <v>1358</v>
      </c>
      <c r="E546" s="18" t="s">
        <v>1359</v>
      </c>
      <c r="F546" s="9" t="s">
        <v>384</v>
      </c>
      <c r="G546" s="9"/>
      <c r="H546" s="23">
        <v>40000.0</v>
      </c>
      <c r="I546" s="27" t="s">
        <v>1360</v>
      </c>
      <c r="J546" s="5"/>
    </row>
    <row r="547" ht="15.75" customHeight="1">
      <c r="A547" s="18" t="s">
        <v>1353</v>
      </c>
      <c r="B547" s="7" t="str">
        <f t="shared" ref="B547:B548" si="40">HYPERLINK("http://dana.org/","Dana Foundation")</f>
        <v>Dana Foundation</v>
      </c>
      <c r="C547" s="8" t="s">
        <v>16</v>
      </c>
      <c r="D547" s="117" t="str">
        <f>HYPERLINK("http://dana.org/Grants/Guide/","The David Mahoney Neuroimaging Program")</f>
        <v>The David Mahoney Neuroimaging Program</v>
      </c>
      <c r="E547" s="18" t="s">
        <v>1361</v>
      </c>
      <c r="F547" s="9" t="s">
        <v>90</v>
      </c>
      <c r="G547" s="9"/>
      <c r="H547" s="9"/>
      <c r="I547" s="92" t="s">
        <v>1362</v>
      </c>
      <c r="J547" s="5"/>
    </row>
    <row r="548" ht="15.75" customHeight="1">
      <c r="A548" s="18" t="s">
        <v>1353</v>
      </c>
      <c r="B548" s="7" t="str">
        <f t="shared" si="40"/>
        <v>Dana Foundation</v>
      </c>
      <c r="C548" s="8" t="s">
        <v>16</v>
      </c>
      <c r="D548" s="117" t="str">
        <f>HYPERLINK("http://dana.org/Grants/Guide/","Clinical Neuro­science Research")</f>
        <v>Clinical Neuro­science Research</v>
      </c>
      <c r="E548" s="18" t="s">
        <v>1361</v>
      </c>
      <c r="F548" s="9" t="s">
        <v>90</v>
      </c>
      <c r="G548" s="9"/>
      <c r="H548" s="9"/>
      <c r="I548" s="92" t="s">
        <v>1363</v>
      </c>
      <c r="J548" s="5"/>
    </row>
    <row r="549" ht="15.75" customHeight="1">
      <c r="A549" s="18" t="s">
        <v>1364</v>
      </c>
      <c r="B549" s="7" t="str">
        <f>HYPERLINK("https://forwomen.org/","OpEd Project/Ms. Foundation")</f>
        <v>OpEd Project/Ms. Foundation</v>
      </c>
      <c r="C549" s="8" t="s">
        <v>16</v>
      </c>
      <c r="D549" s="7" t="str">
        <f>HYPERLINK("https://forwomen.org/grants-2/public-voices/","Public Voices Fellowship")</f>
        <v>Public Voices Fellowship</v>
      </c>
      <c r="E549" s="18" t="s">
        <v>1257</v>
      </c>
      <c r="F549" s="9"/>
      <c r="G549" s="9"/>
      <c r="H549" s="9"/>
      <c r="I549" s="27" t="s">
        <v>1365</v>
      </c>
      <c r="J549" s="5"/>
    </row>
    <row r="550" ht="15.75" customHeight="1">
      <c r="A550" s="18" t="s">
        <v>1366</v>
      </c>
      <c r="B550" s="7" t="str">
        <f>HYPERLINK("https://www.carnegie.org/","Carnegie Corporation")</f>
        <v>Carnegie Corporation</v>
      </c>
      <c r="C550" s="8" t="s">
        <v>16</v>
      </c>
      <c r="D550" s="22" t="s">
        <v>1367</v>
      </c>
      <c r="E550" s="18" t="s">
        <v>45</v>
      </c>
      <c r="F550" s="9" t="s">
        <v>66</v>
      </c>
      <c r="G550" s="9" t="s">
        <v>1368</v>
      </c>
      <c r="H550" s="9" t="s">
        <v>1369</v>
      </c>
      <c r="I550" s="27" t="s">
        <v>1370</v>
      </c>
      <c r="J550" s="5"/>
    </row>
    <row r="551" ht="15.75" customHeight="1">
      <c r="A551" s="6" t="s">
        <v>68</v>
      </c>
      <c r="B551" s="7" t="str">
        <f>HYPERLINK("https://uchv.princeton.edu","University Center for Human Values-- Princeton")</f>
        <v>University Center for Human Values-- Princeton</v>
      </c>
      <c r="C551" s="8" t="s">
        <v>10</v>
      </c>
      <c r="D551" s="7" t="s">
        <v>1371</v>
      </c>
      <c r="E551" s="18" t="s">
        <v>45</v>
      </c>
      <c r="F551" s="9" t="s">
        <v>34</v>
      </c>
      <c r="G551" s="9"/>
      <c r="H551" s="9" t="s">
        <v>711</v>
      </c>
      <c r="I551" s="16" t="s">
        <v>1372</v>
      </c>
      <c r="J551" s="5"/>
    </row>
    <row r="552" ht="15.75" customHeight="1">
      <c r="A552" s="28">
        <v>44910.0</v>
      </c>
      <c r="B552" s="7" t="str">
        <f>HYPERLINK("http://mcgovern.mit.edu","McGovern Institute")</f>
        <v>McGovern Institute</v>
      </c>
      <c r="C552" s="8" t="s">
        <v>10</v>
      </c>
      <c r="D552" s="17" t="s">
        <v>1373</v>
      </c>
      <c r="E552" s="18" t="s">
        <v>194</v>
      </c>
      <c r="F552" s="9" t="s">
        <v>138</v>
      </c>
      <c r="G552" s="9"/>
      <c r="H552" s="9"/>
      <c r="I552" s="16" t="s">
        <v>1374</v>
      </c>
      <c r="J552" s="5"/>
    </row>
    <row r="553" ht="15.75" customHeight="1">
      <c r="A553" s="6" t="s">
        <v>68</v>
      </c>
      <c r="B553" s="7" t="str">
        <f t="shared" ref="B553:B554" si="41">HYPERLINK("http://artomi.org/","Art Omi")</f>
        <v>Art Omi</v>
      </c>
      <c r="C553" s="8" t="s">
        <v>16</v>
      </c>
      <c r="D553" s="17" t="s">
        <v>1375</v>
      </c>
      <c r="E553" s="18" t="s">
        <v>1376</v>
      </c>
      <c r="F553" s="9" t="s">
        <v>34</v>
      </c>
      <c r="G553" s="15"/>
      <c r="H553" s="9" t="s">
        <v>702</v>
      </c>
      <c r="I553" s="16" t="s">
        <v>1377</v>
      </c>
      <c r="J553" s="5"/>
    </row>
    <row r="554" ht="15.75" hidden="1" customHeight="1">
      <c r="A554" s="6" t="s">
        <v>1378</v>
      </c>
      <c r="B554" s="7" t="str">
        <f t="shared" si="41"/>
        <v>Art Omi</v>
      </c>
      <c r="C554" s="8" t="s">
        <v>16</v>
      </c>
      <c r="D554" s="7" t="str">
        <f>HYPERLINK("http://45.55.141.4/residencies/music","Art Omi: Music Residency")</f>
        <v>Art Omi: Music Residency</v>
      </c>
      <c r="E554" s="18" t="s">
        <v>1379</v>
      </c>
      <c r="F554" s="15" t="s">
        <v>34</v>
      </c>
      <c r="G554" s="15"/>
      <c r="H554" s="9" t="s">
        <v>702</v>
      </c>
      <c r="I554" s="16" t="s">
        <v>1380</v>
      </c>
      <c r="J554" s="5"/>
    </row>
    <row r="555" ht="15.75" customHeight="1">
      <c r="A555" s="28">
        <v>44585.0</v>
      </c>
      <c r="B555" s="7" t="str">
        <f t="shared" ref="B555:B556" si="42">HYPERLINK("http://www.huri.harvard.edu/","Ukranian Research institute Harvard University ")</f>
        <v>Ukranian Research institute Harvard University </v>
      </c>
      <c r="C555" s="8" t="s">
        <v>10</v>
      </c>
      <c r="D555" s="22" t="s">
        <v>1381</v>
      </c>
      <c r="E555" s="18" t="s">
        <v>1023</v>
      </c>
      <c r="F555" s="9" t="s">
        <v>34</v>
      </c>
      <c r="G555" s="9" t="s">
        <v>1382</v>
      </c>
      <c r="H555" s="9" t="s">
        <v>1383</v>
      </c>
      <c r="I555" s="16" t="s">
        <v>1384</v>
      </c>
      <c r="J555" s="5"/>
    </row>
    <row r="556" ht="15.75" customHeight="1">
      <c r="A556" s="28">
        <v>44585.0</v>
      </c>
      <c r="B556" s="7" t="str">
        <f t="shared" si="42"/>
        <v>Ukranian Research institute Harvard University </v>
      </c>
      <c r="C556" s="8" t="s">
        <v>10</v>
      </c>
      <c r="D556" s="22" t="s">
        <v>1385</v>
      </c>
      <c r="E556" s="18" t="s">
        <v>1023</v>
      </c>
      <c r="F556" s="9" t="s">
        <v>34</v>
      </c>
      <c r="G556" s="10"/>
      <c r="H556" s="9" t="s">
        <v>1386</v>
      </c>
      <c r="I556" s="16" t="s">
        <v>1387</v>
      </c>
      <c r="J556" s="5"/>
    </row>
    <row r="557" ht="15.75" customHeight="1">
      <c r="A557" s="28">
        <v>44608.0</v>
      </c>
      <c r="B557" s="7" t="str">
        <f>HYPERLINK("https://nyscf.org","NY Stem Cell Foundation")</f>
        <v>NY Stem Cell Foundation</v>
      </c>
      <c r="C557" s="8" t="s">
        <v>16</v>
      </c>
      <c r="D557" s="17" t="s">
        <v>360</v>
      </c>
      <c r="E557" s="18" t="s">
        <v>642</v>
      </c>
      <c r="F557" s="9" t="s">
        <v>83</v>
      </c>
      <c r="G557" s="9"/>
      <c r="H557" s="50" t="s">
        <v>391</v>
      </c>
      <c r="I557" s="16" t="s">
        <v>1388</v>
      </c>
      <c r="J557" s="5"/>
    </row>
    <row r="558" ht="15.75" hidden="1" customHeight="1">
      <c r="A558" s="6" t="s">
        <v>1378</v>
      </c>
      <c r="B558" s="7" t="str">
        <f>HYPERLINK("https://www.spencer.org","Spencer Foundation")</f>
        <v>Spencer Foundation</v>
      </c>
      <c r="C558" s="8" t="s">
        <v>16</v>
      </c>
      <c r="D558" s="7" t="s">
        <v>1389</v>
      </c>
      <c r="E558" s="18" t="s">
        <v>306</v>
      </c>
      <c r="F558" s="9" t="s">
        <v>90</v>
      </c>
      <c r="G558" s="26"/>
      <c r="H558" s="9" t="s">
        <v>1390</v>
      </c>
      <c r="I558" s="16" t="s">
        <v>1391</v>
      </c>
      <c r="J558" s="5"/>
    </row>
    <row r="559" ht="15.75" customHeight="1">
      <c r="A559" s="6" t="s">
        <v>68</v>
      </c>
      <c r="B559" s="7" t="str">
        <f>HYPERLINK("http://www.hedgebrook.org/","Hedgebrook")</f>
        <v>Hedgebrook</v>
      </c>
      <c r="C559" s="8" t="s">
        <v>16</v>
      </c>
      <c r="D559" s="7" t="str">
        <f>HYPERLINK("http://www.hedgebrook.org/writers-in-residence/","Writers in Residence")</f>
        <v>Writers in Residence</v>
      </c>
      <c r="E559" s="18" t="s">
        <v>1392</v>
      </c>
      <c r="F559" s="9" t="s">
        <v>34</v>
      </c>
      <c r="G559" s="9"/>
      <c r="H559" s="9" t="s">
        <v>1393</v>
      </c>
      <c r="I559" s="27" t="s">
        <v>1394</v>
      </c>
      <c r="J559" s="5"/>
    </row>
    <row r="560" ht="15.75" customHeight="1">
      <c r="A560" s="13" t="s">
        <v>1395</v>
      </c>
      <c r="B560" s="7" t="str">
        <f>HYPERLINK("http://www.berggruen.org/","Berggruen Institute")</f>
        <v>Berggruen Institute</v>
      </c>
      <c r="C560" s="8" t="s">
        <v>10</v>
      </c>
      <c r="D560" s="7" t="str">
        <f>HYPERLINK("http://www.berggruen.org/fellowship-program/","Berggruen Fellowships")</f>
        <v>Berggruen Fellowships</v>
      </c>
      <c r="E560" s="18" t="s">
        <v>45</v>
      </c>
      <c r="F560" s="9" t="s">
        <v>34</v>
      </c>
      <c r="G560" s="9"/>
      <c r="H560" s="9" t="s">
        <v>1396</v>
      </c>
      <c r="I560" s="16" t="s">
        <v>1397</v>
      </c>
      <c r="J560" s="5"/>
    </row>
    <row r="561" ht="15.75" customHeight="1">
      <c r="A561" s="6" t="s">
        <v>1398</v>
      </c>
      <c r="B561" s="7" t="str">
        <f>HYPERLINK("https://www.jsmf.org","James S. McDonnell Foundation")</f>
        <v>James S. McDonnell Foundation</v>
      </c>
      <c r="C561" s="67" t="s">
        <v>16</v>
      </c>
      <c r="D561" s="118" t="str">
        <f>HYPERLINK("https://www.jsmf.org/apply/teachers-as-learners/","Teachers as Learners")</f>
        <v>Teachers as Learners</v>
      </c>
      <c r="E561" s="18" t="s">
        <v>1399</v>
      </c>
      <c r="F561" s="9" t="s">
        <v>90</v>
      </c>
      <c r="G561" s="9"/>
      <c r="H561" s="9" t="s">
        <v>1400</v>
      </c>
      <c r="I561" s="16" t="s">
        <v>1401</v>
      </c>
      <c r="J561" s="5"/>
    </row>
    <row r="562" ht="15.75" customHeight="1">
      <c r="A562" s="29" t="s">
        <v>1402</v>
      </c>
      <c r="B562" s="7" t="str">
        <f>HYPERLINK("https://www.nsf.gov/","National Science Foundation")</f>
        <v>National Science Foundation</v>
      </c>
      <c r="C562" s="8" t="s">
        <v>41</v>
      </c>
      <c r="D562" s="7" t="s">
        <v>1403</v>
      </c>
      <c r="E562" s="18" t="s">
        <v>106</v>
      </c>
      <c r="F562" s="9" t="s">
        <v>90</v>
      </c>
      <c r="G562" s="9"/>
      <c r="H562" s="9"/>
      <c r="I562" s="27" t="s">
        <v>1404</v>
      </c>
      <c r="J562" s="5"/>
    </row>
    <row r="563" ht="15.75" customHeight="1">
      <c r="A563" s="28">
        <v>44603.0</v>
      </c>
      <c r="B563" s="7" t="str">
        <f>HYPERLINK("http://www.nus.edu.sg/","National University Singapore")</f>
        <v>National University Singapore</v>
      </c>
      <c r="C563" s="8" t="s">
        <v>10</v>
      </c>
      <c r="D563" s="17" t="s">
        <v>1405</v>
      </c>
      <c r="E563" s="18" t="s">
        <v>462</v>
      </c>
      <c r="F563" s="9" t="s">
        <v>66</v>
      </c>
      <c r="G563" s="9"/>
      <c r="H563" s="23"/>
      <c r="I563" s="16" t="s">
        <v>1406</v>
      </c>
      <c r="J563" s="5"/>
    </row>
    <row r="564" ht="15.75" customHeight="1">
      <c r="A564" s="18" t="s">
        <v>1407</v>
      </c>
      <c r="B564" s="7" t="str">
        <f>HYPERLINK("https://wellcome.ac.uk/","Wellcome Trust")</f>
        <v>Wellcome Trust</v>
      </c>
      <c r="C564" s="8" t="s">
        <v>75</v>
      </c>
      <c r="D564" s="24" t="str">
        <f>HYPERLINK("https://www.wellcomeleap.org","Leap Fund")</f>
        <v>Leap Fund</v>
      </c>
      <c r="E564" s="18" t="s">
        <v>1408</v>
      </c>
      <c r="F564" s="9" t="s">
        <v>477</v>
      </c>
      <c r="G564" s="9"/>
      <c r="H564" s="9" t="s">
        <v>1409</v>
      </c>
      <c r="I564" s="27" t="s">
        <v>1410</v>
      </c>
      <c r="J564" s="5"/>
    </row>
    <row r="565" ht="15.75" customHeight="1">
      <c r="A565" s="6" t="s">
        <v>68</v>
      </c>
      <c r="B565" s="7" t="str">
        <f>HYPERLINK("http://www.asianculturalcouncil.org/","Asian Cultural Council")</f>
        <v>Asian Cultural Council</v>
      </c>
      <c r="C565" s="8" t="s">
        <v>16</v>
      </c>
      <c r="D565" s="17" t="s">
        <v>1411</v>
      </c>
      <c r="E565" s="18" t="s">
        <v>429</v>
      </c>
      <c r="F565" s="9"/>
      <c r="G565" s="9"/>
      <c r="H565" s="9"/>
      <c r="I565" s="16" t="s">
        <v>1412</v>
      </c>
      <c r="J565" s="5"/>
    </row>
    <row r="566" ht="15.75" customHeight="1">
      <c r="A566" s="119" t="s">
        <v>1413</v>
      </c>
      <c r="B566" s="7" t="str">
        <f>HYPERLINK("https://www.radcliffe.harvard.edu/","Radcliffe Institute for Advanced Study Harvard University")</f>
        <v>Radcliffe Institute for Advanced Study Harvard University</v>
      </c>
      <c r="C566" s="8" t="s">
        <v>10</v>
      </c>
      <c r="D566" s="17" t="s">
        <v>1414</v>
      </c>
      <c r="E566" s="18" t="s">
        <v>1257</v>
      </c>
      <c r="F566" s="9" t="s">
        <v>90</v>
      </c>
      <c r="G566" s="9"/>
      <c r="H566" s="23">
        <v>3000.0</v>
      </c>
      <c r="I566" s="27" t="s">
        <v>1415</v>
      </c>
      <c r="J566" s="5"/>
    </row>
    <row r="567" ht="15.75" customHeight="1">
      <c r="A567" s="6" t="s">
        <v>1413</v>
      </c>
      <c r="B567" s="7" t="str">
        <f>HYPERLINK("https://clags.org/","CLAGS")</f>
        <v>CLAGS</v>
      </c>
      <c r="C567" s="8" t="s">
        <v>16</v>
      </c>
      <c r="D567" s="7" t="s">
        <v>1416</v>
      </c>
      <c r="E567" s="18" t="s">
        <v>1417</v>
      </c>
      <c r="F567" s="9" t="s">
        <v>34</v>
      </c>
      <c r="G567" s="9"/>
      <c r="H567" s="109">
        <v>0.0</v>
      </c>
      <c r="I567" s="27" t="s">
        <v>1418</v>
      </c>
      <c r="J567" s="5"/>
    </row>
    <row r="568" ht="15.75" customHeight="1">
      <c r="A568" s="6" t="s">
        <v>1413</v>
      </c>
      <c r="B568" s="7" t="str">
        <f>HYPERLINK("https://www.jusfc.gov/","Japan-U.S. Friendship Commission")</f>
        <v>Japan-U.S. Friendship Commission</v>
      </c>
      <c r="C568" s="8" t="s">
        <v>16</v>
      </c>
      <c r="D568" s="7" t="str">
        <f>HYPERLINK("http://www.jusfc.gov/creative-artists-programs/","US-Japan Creative Artists Fellowships")</f>
        <v>US-Japan Creative Artists Fellowships</v>
      </c>
      <c r="E568" s="18" t="s">
        <v>233</v>
      </c>
      <c r="F568" s="9" t="s">
        <v>1419</v>
      </c>
      <c r="G568" s="18"/>
      <c r="H568" s="9"/>
      <c r="I568" s="16" t="s">
        <v>1420</v>
      </c>
      <c r="J568" s="5"/>
    </row>
    <row r="569" ht="15.75" customHeight="1">
      <c r="A569" s="6" t="s">
        <v>1413</v>
      </c>
      <c r="B569" s="7" t="str">
        <f>HYPERLINK("http://www.queensmuseum.org/","Queens Museum/Jerome Foundation")</f>
        <v>Queens Museum/Jerome Foundation</v>
      </c>
      <c r="C569" s="8" t="s">
        <v>10</v>
      </c>
      <c r="D569" s="7" t="str">
        <f>HYPERLINK("https://queensmuseum.org/artist-opportunities/queens-museumjerome-foundation-fellowship-for-emerging-artists","Emerging Artist Fellowship")</f>
        <v>Emerging Artist Fellowship</v>
      </c>
      <c r="E569" s="18" t="s">
        <v>233</v>
      </c>
      <c r="F569" s="18" t="s">
        <v>143</v>
      </c>
      <c r="G569" s="9" t="s">
        <v>363</v>
      </c>
      <c r="H569" s="23">
        <v>20000.0</v>
      </c>
      <c r="I569" s="120" t="s">
        <v>1421</v>
      </c>
      <c r="J569" s="5"/>
    </row>
    <row r="570" ht="15.75" customHeight="1">
      <c r="A570" s="28">
        <v>45061.0</v>
      </c>
      <c r="B570" s="43" t="str">
        <f>HYPERLINK("https://www.austenriggs.org/","Austen Riggs Center")</f>
        <v>Austen Riggs Center</v>
      </c>
      <c r="C570" s="8" t="s">
        <v>16</v>
      </c>
      <c r="D570" s="7" t="s">
        <v>1422</v>
      </c>
      <c r="E570" s="18" t="s">
        <v>194</v>
      </c>
      <c r="F570" s="9" t="s">
        <v>34</v>
      </c>
      <c r="G570" s="9"/>
      <c r="H570" s="86" t="s">
        <v>1423</v>
      </c>
      <c r="I570" s="73" t="s">
        <v>1424</v>
      </c>
      <c r="J570" s="5"/>
    </row>
    <row r="571" ht="15.75" customHeight="1">
      <c r="A571" s="6" t="s">
        <v>68</v>
      </c>
      <c r="B571" s="7" t="str">
        <f>HYPERLINK("https://lgbts.yale.edu/","Yale LGBT Studies")</f>
        <v>Yale LGBT Studies</v>
      </c>
      <c r="C571" s="8"/>
      <c r="D571" s="7" t="s">
        <v>1425</v>
      </c>
      <c r="E571" s="18" t="s">
        <v>1426</v>
      </c>
      <c r="F571" s="9" t="s">
        <v>34</v>
      </c>
      <c r="G571" s="15"/>
      <c r="H571" s="23">
        <v>4000.0</v>
      </c>
      <c r="I571" s="102" t="s">
        <v>1427</v>
      </c>
      <c r="J571" s="5"/>
    </row>
    <row r="572" ht="15.75" customHeight="1">
      <c r="A572" s="28">
        <v>45169.0</v>
      </c>
      <c r="B572" s="7" t="str">
        <f>HYPERLINK("http://www.sah.org/","Society of Architectural Historians")</f>
        <v>Society of Architectural Historians</v>
      </c>
      <c r="C572" s="8" t="s">
        <v>16</v>
      </c>
      <c r="D572" s="7" t="s">
        <v>1428</v>
      </c>
      <c r="E572" s="18" t="s">
        <v>65</v>
      </c>
      <c r="F572" s="9" t="s">
        <v>191</v>
      </c>
      <c r="G572" s="9" t="s">
        <v>72</v>
      </c>
      <c r="H572" s="9"/>
      <c r="I572" s="27" t="s">
        <v>1429</v>
      </c>
      <c r="J572" s="5"/>
    </row>
    <row r="573" ht="15.75" customHeight="1">
      <c r="A573" s="28">
        <v>44576.0</v>
      </c>
      <c r="B573" s="7" t="str">
        <f>HYPERLINK("https://vermontstudiocenter.org","Vermont Studio Center")</f>
        <v>Vermont Studio Center</v>
      </c>
      <c r="C573" s="8" t="s">
        <v>16</v>
      </c>
      <c r="D573" s="17" t="s">
        <v>1430</v>
      </c>
      <c r="E573" s="18" t="s">
        <v>233</v>
      </c>
      <c r="F573" s="18" t="s">
        <v>34</v>
      </c>
      <c r="G573" s="10"/>
      <c r="H573" s="9"/>
      <c r="I573" s="27" t="s">
        <v>1431</v>
      </c>
      <c r="J573" s="5"/>
    </row>
    <row r="574" ht="15.75" customHeight="1">
      <c r="A574" s="28">
        <v>45028.0</v>
      </c>
      <c r="B574" s="7" t="str">
        <f>HYPERLINK("https://www.nationalgeographic.org/","National Geographic Society")</f>
        <v>National Geographic Society</v>
      </c>
      <c r="C574" s="8" t="s">
        <v>16</v>
      </c>
      <c r="D574" s="7" t="str">
        <f>HYPERLINK("https://www.nationalgeographic.org/grants/grant-opportunities/","Expeditions Council Grants")</f>
        <v>Expeditions Council Grants</v>
      </c>
      <c r="E574" s="18" t="s">
        <v>45</v>
      </c>
      <c r="F574" s="9" t="s">
        <v>1432</v>
      </c>
      <c r="G574" s="9"/>
      <c r="H574" s="9" t="s">
        <v>1433</v>
      </c>
      <c r="I574" s="16" t="s">
        <v>1434</v>
      </c>
      <c r="J574" s="5"/>
    </row>
    <row r="575" ht="15.75" customHeight="1">
      <c r="A575" s="6" t="s">
        <v>68</v>
      </c>
      <c r="B575" s="13" t="s">
        <v>1435</v>
      </c>
      <c r="C575" s="14" t="s">
        <v>10</v>
      </c>
      <c r="D575" s="13" t="s">
        <v>1436</v>
      </c>
      <c r="E575" s="6" t="s">
        <v>128</v>
      </c>
      <c r="F575" s="50" t="s">
        <v>66</v>
      </c>
      <c r="G575" s="9"/>
      <c r="H575" s="23"/>
      <c r="I575" s="16" t="s">
        <v>1437</v>
      </c>
      <c r="J575" s="5"/>
    </row>
    <row r="576" ht="15.75" customHeight="1">
      <c r="A576" s="28">
        <v>44809.0</v>
      </c>
      <c r="B576" s="17" t="s">
        <v>1438</v>
      </c>
      <c r="C576" s="8" t="s">
        <v>10</v>
      </c>
      <c r="D576" s="17" t="s">
        <v>1439</v>
      </c>
      <c r="E576" s="18" t="s">
        <v>45</v>
      </c>
      <c r="F576" s="9" t="s">
        <v>34</v>
      </c>
      <c r="G576" s="9"/>
      <c r="H576" s="23">
        <v>75000.0</v>
      </c>
      <c r="I576" s="27" t="s">
        <v>1440</v>
      </c>
      <c r="J576" s="5"/>
    </row>
    <row r="577" ht="15.75" customHeight="1">
      <c r="A577" s="6" t="s">
        <v>68</v>
      </c>
      <c r="B577" s="7" t="str">
        <f>HYPERLINK("http://www.miltonandsallyaveryartsfoundation.com/","Milton and Sally Avery Arts Foundation")</f>
        <v>Milton and Sally Avery Arts Foundation</v>
      </c>
      <c r="C577" s="8" t="s">
        <v>16</v>
      </c>
      <c r="D577" s="13" t="s">
        <v>46</v>
      </c>
      <c r="E577" s="18"/>
      <c r="F577" s="9"/>
      <c r="G577" s="9"/>
      <c r="H577" s="9"/>
      <c r="I577" s="27" t="s">
        <v>1441</v>
      </c>
      <c r="J577" s="5"/>
    </row>
    <row r="578" ht="15.75" customHeight="1">
      <c r="A578" s="18" t="s">
        <v>1442</v>
      </c>
      <c r="B578" s="7" t="str">
        <f>HYPERLINK("http://europe.columbia.edu/","European Institute, Columbia University")</f>
        <v>European Institute, Columbia University</v>
      </c>
      <c r="C578" s="8" t="s">
        <v>10</v>
      </c>
      <c r="D578" s="7" t="str">
        <f>HYPERLINK("http://europe.columbia.edu/funding/faculty-research-grants/","EI Faculty Grants")</f>
        <v>EI Faculty Grants</v>
      </c>
      <c r="E578" s="9" t="s">
        <v>1443</v>
      </c>
      <c r="F578" s="9" t="s">
        <v>1444</v>
      </c>
      <c r="G578" s="10"/>
      <c r="H578" s="10"/>
      <c r="I578" s="121" t="s">
        <v>1445</v>
      </c>
      <c r="J578" s="5"/>
    </row>
    <row r="579" ht="15.75" customHeight="1">
      <c r="A579" s="18" t="s">
        <v>1442</v>
      </c>
      <c r="B579" s="7" t="str">
        <f>HYPERLINK("https://www.ssrc.org/","Social Science Research Council")</f>
        <v>Social Science Research Council</v>
      </c>
      <c r="C579" s="8" t="s">
        <v>16</v>
      </c>
      <c r="D579" s="7" t="str">
        <f>HYPERLINK("https://www.ssrc.org/fellowships/view/dsd-fellowship/","Drugs, Security and Democracy (DSD) Program fellowship")</f>
        <v>Drugs, Security and Democracy (DSD) Program fellowship</v>
      </c>
      <c r="E579" s="18" t="s">
        <v>394</v>
      </c>
      <c r="F579" s="9" t="s">
        <v>66</v>
      </c>
      <c r="G579" s="9"/>
      <c r="H579" s="9" t="s">
        <v>1446</v>
      </c>
      <c r="I579" s="27" t="s">
        <v>1447</v>
      </c>
      <c r="J579" s="5"/>
    </row>
    <row r="580" ht="15.75" customHeight="1">
      <c r="A580" s="18" t="s">
        <v>1442</v>
      </c>
      <c r="B580" s="7" t="str">
        <f>HYPERLINK("https://www.sfari.org","Simons Foundation")</f>
        <v>Simons Foundation</v>
      </c>
      <c r="C580" s="8" t="s">
        <v>16</v>
      </c>
      <c r="D580" s="7" t="str">
        <f>HYPERLINK("https://www.sfari.org/grant/explorer-awards-rfa/","Pilot and Research Awards")</f>
        <v>Pilot and Research Awards</v>
      </c>
      <c r="E580" s="18" t="s">
        <v>77</v>
      </c>
      <c r="F580" s="9" t="s">
        <v>90</v>
      </c>
      <c r="G580" s="9"/>
      <c r="H580" s="9" t="s">
        <v>1448</v>
      </c>
      <c r="I580" s="27" t="s">
        <v>1449</v>
      </c>
      <c r="J580" s="5"/>
    </row>
    <row r="581" ht="15.75" customHeight="1">
      <c r="A581" s="18" t="s">
        <v>1442</v>
      </c>
      <c r="B581" s="8" t="s">
        <v>1450</v>
      </c>
      <c r="C581" s="8" t="s">
        <v>75</v>
      </c>
      <c r="D581" s="8" t="s">
        <v>1451</v>
      </c>
      <c r="E581" s="18" t="s">
        <v>1452</v>
      </c>
      <c r="F581" s="9" t="s">
        <v>90</v>
      </c>
      <c r="G581" s="9"/>
      <c r="H581" s="9" t="s">
        <v>1047</v>
      </c>
      <c r="I581" s="59" t="s">
        <v>1453</v>
      </c>
      <c r="J581" s="5"/>
    </row>
    <row r="582" ht="15.75" customHeight="1">
      <c r="A582" s="18" t="s">
        <v>1442</v>
      </c>
      <c r="B582" s="7" t="str">
        <f>HYPERLINK("https://www.archaeological.org","Archaeological Institute of America")</f>
        <v>Archaeological Institute of America</v>
      </c>
      <c r="C582" s="8" t="s">
        <v>16</v>
      </c>
      <c r="D582" s="7" t="str">
        <f>HYPERLINK("https://www.archaeological.org/grants/10032","Cotsen Excavation Grants")</f>
        <v>Cotsen Excavation Grants</v>
      </c>
      <c r="E582" s="18" t="s">
        <v>163</v>
      </c>
      <c r="F582" s="9" t="s">
        <v>1127</v>
      </c>
      <c r="G582" s="9" t="s">
        <v>1454</v>
      </c>
      <c r="H582" s="9" t="s">
        <v>218</v>
      </c>
      <c r="I582" s="27" t="s">
        <v>1455</v>
      </c>
      <c r="J582" s="5"/>
    </row>
    <row r="583" ht="15.75" customHeight="1">
      <c r="A583" s="28">
        <v>45278.0</v>
      </c>
      <c r="B583" s="13" t="s">
        <v>1456</v>
      </c>
      <c r="C583" s="14" t="s">
        <v>10</v>
      </c>
      <c r="D583" s="13" t="s">
        <v>1006</v>
      </c>
      <c r="E583" s="6" t="s">
        <v>128</v>
      </c>
      <c r="F583" s="51" t="s">
        <v>66</v>
      </c>
      <c r="G583" s="15"/>
      <c r="H583" s="50" t="s">
        <v>1457</v>
      </c>
      <c r="I583" s="16" t="s">
        <v>1458</v>
      </c>
      <c r="J583" s="5"/>
    </row>
    <row r="584" ht="15.75" customHeight="1">
      <c r="A584" s="18" t="s">
        <v>1459</v>
      </c>
      <c r="B584" s="7" t="str">
        <f>HYPERLINK("https://humanitieswritlarge.duke.edu/","Humanities Writ Large Duke University")</f>
        <v>Humanities Writ Large Duke University</v>
      </c>
      <c r="C584" s="8" t="s">
        <v>10</v>
      </c>
      <c r="D584" s="7" t="str">
        <f>HYPERLINK("https://humanitieswritlarge.duke.edu/","Humanities Writ Large Visiting Faculty Fellows")</f>
        <v>Humanities Writ Large Visiting Faculty Fellows</v>
      </c>
      <c r="E584" s="18" t="s">
        <v>128</v>
      </c>
      <c r="F584" s="51" t="s">
        <v>34</v>
      </c>
      <c r="G584" s="15"/>
      <c r="H584" s="9"/>
      <c r="I584" s="27" t="s">
        <v>1460</v>
      </c>
      <c r="J584" s="5"/>
    </row>
    <row r="585" ht="15.75" customHeight="1">
      <c r="A585" s="6" t="s">
        <v>823</v>
      </c>
      <c r="B585" s="7" t="str">
        <f>HYPERLINK("https://ethics.utoronto.ca/","Center for Ethics University of Toronto")</f>
        <v>Center for Ethics University of Toronto</v>
      </c>
      <c r="C585" s="48" t="s">
        <v>10</v>
      </c>
      <c r="D585" s="17" t="s">
        <v>1461</v>
      </c>
      <c r="E585" s="18" t="s">
        <v>128</v>
      </c>
      <c r="F585" s="9" t="s">
        <v>34</v>
      </c>
      <c r="G585" s="9"/>
      <c r="H585" s="9"/>
      <c r="I585" s="16" t="s">
        <v>1462</v>
      </c>
      <c r="J585" s="5"/>
    </row>
    <row r="586" ht="15.75" customHeight="1">
      <c r="A586" s="6" t="s">
        <v>823</v>
      </c>
      <c r="B586" s="7" t="str">
        <f>HYPERLINK("https://www.kauffman.org/","Ewing Marion Kauffman Foundation")</f>
        <v>Ewing Marion Kauffman Foundation</v>
      </c>
      <c r="C586" s="8" t="s">
        <v>243</v>
      </c>
      <c r="D586" s="13" t="s">
        <v>1463</v>
      </c>
      <c r="E586" s="18" t="s">
        <v>394</v>
      </c>
      <c r="F586" s="6" t="s">
        <v>46</v>
      </c>
      <c r="G586" s="9"/>
      <c r="H586" s="50" t="s">
        <v>453</v>
      </c>
      <c r="I586" s="58" t="s">
        <v>1464</v>
      </c>
      <c r="J586" s="5"/>
    </row>
    <row r="587" ht="15.75" customHeight="1">
      <c r="A587" s="6" t="s">
        <v>823</v>
      </c>
      <c r="B587" s="7" t="str">
        <f>HYPERLINK("http://www.russellsage.org","Russell Sage Foundation")</f>
        <v>Russell Sage Foundation</v>
      </c>
      <c r="C587" s="8" t="s">
        <v>16</v>
      </c>
      <c r="D587" s="7" t="s">
        <v>1465</v>
      </c>
      <c r="E587" s="18" t="s">
        <v>394</v>
      </c>
      <c r="F587" s="9" t="s">
        <v>90</v>
      </c>
      <c r="G587" s="9"/>
      <c r="H587" s="9"/>
      <c r="I587" s="58" t="s">
        <v>1466</v>
      </c>
      <c r="J587" s="5"/>
    </row>
    <row r="588" ht="15.75" customHeight="1">
      <c r="A588" s="6" t="s">
        <v>1467</v>
      </c>
      <c r="B588" s="7" t="str">
        <f>HYPERLINK("https://www.kauffman.org/w","Kauffman Foundation")</f>
        <v>Kauffman Foundation</v>
      </c>
      <c r="C588" s="8" t="s">
        <v>16</v>
      </c>
      <c r="D588" s="13" t="s">
        <v>1468</v>
      </c>
      <c r="E588" s="18" t="s">
        <v>45</v>
      </c>
      <c r="F588" s="50" t="s">
        <v>759</v>
      </c>
      <c r="G588" s="9"/>
      <c r="H588" s="9"/>
      <c r="I588" s="16" t="s">
        <v>1469</v>
      </c>
      <c r="J588" s="5"/>
    </row>
    <row r="589" ht="15.75" customHeight="1">
      <c r="A589" s="6" t="s">
        <v>1467</v>
      </c>
      <c r="B589" s="7" t="str">
        <f>HYPERLINK("http://scienceandsociety.columbia.edu/","Columbia Center for Science and Society")</f>
        <v>Columbia Center for Science and Society</v>
      </c>
      <c r="C589" s="8" t="s">
        <v>10</v>
      </c>
      <c r="D589" s="13" t="s">
        <v>1470</v>
      </c>
      <c r="E589" s="18" t="s">
        <v>77</v>
      </c>
      <c r="F589" s="9"/>
      <c r="G589" s="9"/>
      <c r="H589" s="23">
        <v>3000.0</v>
      </c>
      <c r="I589" s="16" t="s">
        <v>1471</v>
      </c>
      <c r="J589" s="5"/>
    </row>
    <row r="590" ht="15.75" customHeight="1">
      <c r="A590" s="6" t="s">
        <v>1467</v>
      </c>
      <c r="B590" s="7" t="str">
        <f>HYPERLINK("https://www.simonsfoundation.org/","Simons Foundation")</f>
        <v>Simons Foundation</v>
      </c>
      <c r="C590" s="8" t="s">
        <v>16</v>
      </c>
      <c r="D590" s="7" t="str">
        <f>HYPERLINK("https://www.simonsfoundation.org/grant/simons-collaborations-in-mathematics-and-the-physical-sciences/","Simons Collaborations in Mathematics and Physical Science")</f>
        <v>Simons Collaborations in Mathematics and Physical Science</v>
      </c>
      <c r="E590" s="18" t="s">
        <v>106</v>
      </c>
      <c r="F590" s="9" t="s">
        <v>90</v>
      </c>
      <c r="G590" s="9"/>
      <c r="H590" s="50" t="s">
        <v>453</v>
      </c>
      <c r="I590" s="16" t="s">
        <v>1472</v>
      </c>
      <c r="J590" s="5"/>
    </row>
    <row r="591" ht="15.75" customHeight="1">
      <c r="A591" s="28">
        <v>44774.0</v>
      </c>
      <c r="B591" s="7" t="str">
        <f t="shared" ref="B591:B592" si="43">HYPERLINK("https://www.nsf.gov/","National Science Foundation")</f>
        <v>National Science Foundation</v>
      </c>
      <c r="C591" s="14" t="s">
        <v>41</v>
      </c>
      <c r="D591" s="13" t="s">
        <v>1473</v>
      </c>
      <c r="E591" s="18"/>
      <c r="F591" s="9"/>
      <c r="G591" s="9"/>
      <c r="H591" s="9"/>
      <c r="I591" s="16" t="s">
        <v>1474</v>
      </c>
      <c r="J591" s="5"/>
    </row>
    <row r="592" ht="15.75" customHeight="1">
      <c r="A592" s="6" t="s">
        <v>1467</v>
      </c>
      <c r="B592" s="7" t="str">
        <f t="shared" si="43"/>
        <v>National Science Foundation</v>
      </c>
      <c r="C592" s="8" t="s">
        <v>41</v>
      </c>
      <c r="D592" s="13" t="s">
        <v>1475</v>
      </c>
      <c r="E592" s="18" t="s">
        <v>106</v>
      </c>
      <c r="F592" s="9" t="s">
        <v>90</v>
      </c>
      <c r="G592" s="9"/>
      <c r="H592" s="9"/>
      <c r="I592" s="27" t="s">
        <v>1476</v>
      </c>
      <c r="J592" s="5"/>
    </row>
    <row r="593" ht="15.75" customHeight="1">
      <c r="A593" s="6" t="s">
        <v>1467</v>
      </c>
      <c r="B593" s="7" t="str">
        <f>HYPERLINK("https://www.sas.ac.uk/","Univeristy of London, School of Advanced Study")</f>
        <v>Univeristy of London, School of Advanced Study</v>
      </c>
      <c r="C593" s="8" t="s">
        <v>10</v>
      </c>
      <c r="D593" s="17" t="s">
        <v>1477</v>
      </c>
      <c r="E593" s="18" t="s">
        <v>24</v>
      </c>
      <c r="F593" s="9" t="s">
        <v>87</v>
      </c>
      <c r="G593" s="9"/>
      <c r="H593" s="23" t="s">
        <v>453</v>
      </c>
      <c r="I593" s="41" t="s">
        <v>1478</v>
      </c>
      <c r="J593" s="5"/>
    </row>
    <row r="594" ht="15.75" customHeight="1">
      <c r="A594" s="6" t="s">
        <v>1467</v>
      </c>
      <c r="B594" s="7" t="str">
        <f>HYPERLINK("http://dallasinstitute.org/","Dallas Institute of Humanities and Culture")</f>
        <v>Dallas Institute of Humanities and Culture</v>
      </c>
      <c r="C594" s="8" t="s">
        <v>16</v>
      </c>
      <c r="D594" s="24" t="str">
        <f>HYPERLINK("https://dallasinstitute.org/hiett/","Hiett Prize in the Humanities")</f>
        <v>Hiett Prize in the Humanities</v>
      </c>
      <c r="E594" s="18" t="s">
        <v>82</v>
      </c>
      <c r="F594" s="9" t="s">
        <v>1479</v>
      </c>
      <c r="G594" s="9"/>
      <c r="H594" s="23">
        <v>50000.0</v>
      </c>
      <c r="I594" s="27" t="s">
        <v>1480</v>
      </c>
      <c r="J594" s="5"/>
    </row>
    <row r="595" ht="15.75" customHeight="1">
      <c r="A595" s="29" t="s">
        <v>1335</v>
      </c>
      <c r="B595" s="7" t="str">
        <f>HYPERLINK("https://www.ncsu.edu/","North Carolina State University, Khayrallah Center for Lebanese Diaspora Studies")</f>
        <v>North Carolina State University, Khayrallah Center for Lebanese Diaspora Studies</v>
      </c>
      <c r="C595" s="8" t="s">
        <v>10</v>
      </c>
      <c r="D595" s="7" t="str">
        <f>HYPERLINK("https://lebanesestudies.ncsu.edu/awards/VisitingScholar.php","Visiting Scholar Grants")</f>
        <v>Visiting Scholar Grants</v>
      </c>
      <c r="E595" s="18" t="s">
        <v>55</v>
      </c>
      <c r="F595" s="9" t="s">
        <v>34</v>
      </c>
      <c r="G595" s="9"/>
      <c r="H595" s="9" t="s">
        <v>1481</v>
      </c>
      <c r="I595" s="27" t="s">
        <v>1482</v>
      </c>
      <c r="J595" s="5"/>
    </row>
    <row r="596" ht="15.75" customHeight="1">
      <c r="A596" s="29" t="s">
        <v>1467</v>
      </c>
      <c r="B596" s="7" t="str">
        <f>HYPERLINK("http://www.furthermore.org/index.html","Furthermore Grants in Publishing")</f>
        <v>Furthermore Grants in Publishing</v>
      </c>
      <c r="C596" s="8" t="s">
        <v>16</v>
      </c>
      <c r="D596" s="7" t="str">
        <f>HYPERLINK("http://www.furthermore.org/index.html","Furthermore Grants in Publishing")</f>
        <v>Furthermore Grants in Publishing</v>
      </c>
      <c r="E596" s="18" t="s">
        <v>82</v>
      </c>
      <c r="F596" s="15" t="s">
        <v>143</v>
      </c>
      <c r="G596" s="89"/>
      <c r="H596" s="9" t="s">
        <v>1184</v>
      </c>
      <c r="I596" s="27" t="s">
        <v>1483</v>
      </c>
      <c r="J596" s="5"/>
    </row>
    <row r="597" ht="15.75" customHeight="1">
      <c r="A597" s="19">
        <v>45337.0</v>
      </c>
      <c r="B597" s="7" t="s">
        <v>124</v>
      </c>
      <c r="C597" s="8" t="s">
        <v>41</v>
      </c>
      <c r="D597" s="7" t="s">
        <v>1484</v>
      </c>
      <c r="E597" s="18" t="s">
        <v>77</v>
      </c>
      <c r="F597" s="18" t="s">
        <v>90</v>
      </c>
      <c r="G597" s="18"/>
      <c r="H597" s="9"/>
      <c r="I597" s="64" t="s">
        <v>1485</v>
      </c>
      <c r="J597" s="5"/>
    </row>
    <row r="598" ht="15.75" customHeight="1">
      <c r="A598" s="29" t="s">
        <v>823</v>
      </c>
      <c r="B598" s="7" t="str">
        <f>HYPERLINK("https://www.wilsoncenter.org/","Wilson Center")</f>
        <v>Wilson Center</v>
      </c>
      <c r="C598" s="8" t="s">
        <v>16</v>
      </c>
      <c r="D598" s="7" t="str">
        <f>HYPERLINK("https://www.wilsoncenter.org/supporting-cold-war-research","Support Grants")</f>
        <v>Support Grants</v>
      </c>
      <c r="E598" s="18" t="s">
        <v>61</v>
      </c>
      <c r="F598" s="9" t="s">
        <v>1486</v>
      </c>
      <c r="G598" s="9"/>
      <c r="H598" s="9"/>
      <c r="I598" s="27" t="s">
        <v>1487</v>
      </c>
      <c r="J598" s="5"/>
    </row>
    <row r="599" ht="15.75" customHeight="1">
      <c r="A599" s="29" t="s">
        <v>1467</v>
      </c>
      <c r="B599" s="7" t="str">
        <f>HYPERLINK("http://delmas.org/","Gladys Krieble Delmas Foundation")</f>
        <v>Gladys Krieble Delmas Foundation</v>
      </c>
      <c r="C599" s="8" t="s">
        <v>16</v>
      </c>
      <c r="D599" s="7" t="s">
        <v>564</v>
      </c>
      <c r="E599" s="18" t="s">
        <v>82</v>
      </c>
      <c r="F599" s="9" t="s">
        <v>138</v>
      </c>
      <c r="G599" s="9"/>
      <c r="H599" s="9"/>
      <c r="I599" s="27" t="s">
        <v>1488</v>
      </c>
      <c r="J599" s="5"/>
    </row>
    <row r="600" ht="15.75" customHeight="1">
      <c r="A600" s="29" t="s">
        <v>1467</v>
      </c>
      <c r="B600" s="24" t="s">
        <v>1341</v>
      </c>
      <c r="C600" s="8" t="s">
        <v>16</v>
      </c>
      <c r="D600" s="24" t="str">
        <f>HYPERLINK("http://www.ala.org/awardsgrants/awards/32913/select","Gale Cengage History Research and Innovation Award")</f>
        <v>Gale Cengage History Research and Innovation Award</v>
      </c>
      <c r="E600" s="18" t="s">
        <v>419</v>
      </c>
      <c r="F600" s="9" t="s">
        <v>83</v>
      </c>
      <c r="G600" s="26"/>
      <c r="H600" s="23">
        <v>2500.0</v>
      </c>
      <c r="I600" s="27" t="s">
        <v>1489</v>
      </c>
      <c r="J600" s="5"/>
    </row>
    <row r="601" ht="15.75" customHeight="1">
      <c r="A601" s="29" t="s">
        <v>823</v>
      </c>
      <c r="B601" s="24" t="s">
        <v>124</v>
      </c>
      <c r="C601" s="8" t="s">
        <v>41</v>
      </c>
      <c r="D601" s="7" t="str">
        <f>HYPERLINK("https://www.nsf.gov/funding/pgm_summ.jsp?pims_id=11701&amp;org=DMS&amp;from=home","Conferences and Workshops in the Mathematical Sciences")</f>
        <v>Conferences and Workshops in the Mathematical Sciences</v>
      </c>
      <c r="E601" s="18" t="s">
        <v>106</v>
      </c>
      <c r="F601" s="9" t="s">
        <v>927</v>
      </c>
      <c r="G601" s="9"/>
      <c r="H601" s="9"/>
      <c r="I601" s="27" t="s">
        <v>1490</v>
      </c>
      <c r="J601" s="5"/>
    </row>
    <row r="602" ht="15.75" customHeight="1">
      <c r="A602" s="29" t="s">
        <v>1467</v>
      </c>
      <c r="B602" s="7" t="str">
        <f>HYPERLINK("https://www.foundationforcontemporaryarts.org/","Foundation for Contemporary Arts")</f>
        <v>Foundation for Contemporary Arts</v>
      </c>
      <c r="C602" s="8" t="s">
        <v>16</v>
      </c>
      <c r="D602" s="7" t="s">
        <v>1491</v>
      </c>
      <c r="E602" s="18" t="s">
        <v>17</v>
      </c>
      <c r="F602" s="9" t="s">
        <v>1492</v>
      </c>
      <c r="G602" s="9"/>
      <c r="H602" s="9" t="s">
        <v>1493</v>
      </c>
      <c r="I602" s="27" t="s">
        <v>1494</v>
      </c>
      <c r="J602" s="5"/>
    </row>
    <row r="603" ht="15.75" customHeight="1">
      <c r="A603" s="28">
        <v>44470.0</v>
      </c>
      <c r="B603" s="7" t="str">
        <f>HYPERLINK("https://nyuad.nyu.edu/en/","New York University Abu Dhabi Institute")</f>
        <v>New York University Abu Dhabi Institute</v>
      </c>
      <c r="C603" s="8" t="s">
        <v>10</v>
      </c>
      <c r="D603" s="7" t="str">
        <f>HYPERLINK("https://nyuad.nyu.edu/en/research/centers-labs-and-projects/humanities-research-fellowship-program.html","Humanities Research Fellowship")</f>
        <v>Humanities Research Fellowship</v>
      </c>
      <c r="E603" s="18" t="s">
        <v>1495</v>
      </c>
      <c r="F603" s="9" t="s">
        <v>66</v>
      </c>
      <c r="G603" s="9" t="s">
        <v>1496</v>
      </c>
      <c r="H603" s="23"/>
      <c r="I603" s="27" t="s">
        <v>1497</v>
      </c>
      <c r="J603" s="5"/>
    </row>
    <row r="604" ht="15.75" customHeight="1">
      <c r="A604" s="18" t="s">
        <v>1467</v>
      </c>
      <c r="B604" s="7" t="str">
        <f>HYPERLINK("https://www.sas.ac.uk/","Univeristy of London, School of Advanced Study")</f>
        <v>Univeristy of London, School of Advanced Study</v>
      </c>
      <c r="C604" s="8" t="s">
        <v>10</v>
      </c>
      <c r="D604" s="32" t="s">
        <v>1498</v>
      </c>
      <c r="E604" s="18" t="s">
        <v>1499</v>
      </c>
      <c r="F604" s="9" t="s">
        <v>87</v>
      </c>
      <c r="G604" s="9"/>
      <c r="H604" s="23"/>
      <c r="I604" s="54" t="s">
        <v>1500</v>
      </c>
      <c r="J604" s="5"/>
    </row>
    <row r="605" ht="15.75" customHeight="1">
      <c r="A605" s="29" t="s">
        <v>823</v>
      </c>
      <c r="B605" s="7" t="str">
        <f>HYPERLINK("https://www.humboldt-foundation.de","Humboldt Foundation")</f>
        <v>Humboldt Foundation</v>
      </c>
      <c r="C605" s="8" t="s">
        <v>16</v>
      </c>
      <c r="D605" s="7" t="str">
        <f>HYPERLINK("https://www.humboldt-foundation.de/web/humboldt-fellowship-postdoc.html","Humboldt Research Fellowship for Postdoctoral Researchers")</f>
        <v>Humboldt Research Fellowship for Postdoctoral Researchers</v>
      </c>
      <c r="E605" s="18" t="s">
        <v>45</v>
      </c>
      <c r="F605" s="9" t="s">
        <v>66</v>
      </c>
      <c r="G605" s="9" t="s">
        <v>1501</v>
      </c>
      <c r="H605" s="23"/>
      <c r="I605" s="16" t="s">
        <v>1502</v>
      </c>
      <c r="J605" s="5"/>
    </row>
    <row r="606" ht="15.75" customHeight="1">
      <c r="A606" s="29" t="s">
        <v>1467</v>
      </c>
      <c r="B606" s="24" t="str">
        <f>HYPERLINK("http://www.mville.edu/","Manhattanville College")</f>
        <v>Manhattanville College</v>
      </c>
      <c r="C606" s="8" t="s">
        <v>10</v>
      </c>
      <c r="D606" s="7" t="str">
        <f>HYPERLINK("http://www1.mville.edu/grants/GrantDescriptionPages/Earhart.htm","Earhart Foundation Fellowship")</f>
        <v>Earhart Foundation Fellowship</v>
      </c>
      <c r="E606" s="18" t="s">
        <v>45</v>
      </c>
      <c r="F606" s="9" t="s">
        <v>66</v>
      </c>
      <c r="G606" s="9"/>
      <c r="H606" s="9" t="s">
        <v>1503</v>
      </c>
      <c r="I606" s="27" t="s">
        <v>1504</v>
      </c>
      <c r="J606" s="5"/>
    </row>
    <row r="607" ht="15.75" customHeight="1">
      <c r="A607" s="29" t="s">
        <v>823</v>
      </c>
      <c r="B607" s="7" t="str">
        <f>HYPERLINK("https://www.humboldt-foundation.de","Humboldt Foundation")</f>
        <v>Humboldt Foundation</v>
      </c>
      <c r="C607" s="8" t="s">
        <v>16</v>
      </c>
      <c r="D607" s="7" t="str">
        <f>HYPERLINK("https://www.humboldt-foundation.de/web/humboldt-fellowship-experienced.html","Humboldt Research Fellowship for Experienced Researchers")</f>
        <v>Humboldt Research Fellowship for Experienced Researchers</v>
      </c>
      <c r="E607" s="18" t="s">
        <v>45</v>
      </c>
      <c r="F607" s="9" t="s">
        <v>34</v>
      </c>
      <c r="G607" s="9" t="s">
        <v>1505</v>
      </c>
      <c r="H607" s="23"/>
      <c r="I607" s="27" t="s">
        <v>1506</v>
      </c>
      <c r="J607" s="5"/>
    </row>
    <row r="608" ht="15.75" customHeight="1">
      <c r="A608" s="29" t="s">
        <v>1467</v>
      </c>
      <c r="B608" s="7" t="str">
        <f>HYPERLINK("https://www.usip.org","U.S. Institute of Peace")</f>
        <v>U.S. Institute of Peace</v>
      </c>
      <c r="C608" s="8" t="s">
        <v>16</v>
      </c>
      <c r="D608" s="7" t="s">
        <v>1507</v>
      </c>
      <c r="E608" s="18" t="s">
        <v>45</v>
      </c>
      <c r="F608" s="9" t="s">
        <v>301</v>
      </c>
      <c r="G608" s="9"/>
      <c r="H608" s="9" t="s">
        <v>1508</v>
      </c>
      <c r="I608" s="27" t="s">
        <v>1509</v>
      </c>
      <c r="J608" s="5"/>
    </row>
    <row r="609" ht="15.75" customHeight="1">
      <c r="A609" s="29" t="s">
        <v>1467</v>
      </c>
      <c r="B609" s="7" t="str">
        <f>HYPERLINK("https://dayan.org/","Tel Aviv University")</f>
        <v>Tel Aviv University</v>
      </c>
      <c r="C609" s="8" t="s">
        <v>10</v>
      </c>
      <c r="D609" s="24" t="str">
        <f>HYPERLINK("https://dayan.org/content/visiting-scholars","Visiting Scholars")</f>
        <v>Visiting Scholars</v>
      </c>
      <c r="E609" s="18" t="s">
        <v>55</v>
      </c>
      <c r="F609" s="9" t="s">
        <v>34</v>
      </c>
      <c r="G609" s="9"/>
      <c r="H609" s="9" t="s">
        <v>100</v>
      </c>
      <c r="I609" s="27" t="s">
        <v>1510</v>
      </c>
      <c r="J609" s="5"/>
    </row>
    <row r="610" ht="15.75" customHeight="1">
      <c r="A610" s="29" t="s">
        <v>823</v>
      </c>
      <c r="B610" s="7" t="str">
        <f>HYPERLINK("http://www.cornelldouglas.org/","Cornell Douglas Foundation")</f>
        <v>Cornell Douglas Foundation</v>
      </c>
      <c r="C610" s="8" t="s">
        <v>16</v>
      </c>
      <c r="D610" s="7" t="str">
        <f>HYPERLINK("http://www.cornelldouglas.org/apply","Grants")</f>
        <v>Grants</v>
      </c>
      <c r="E610" s="18" t="s">
        <v>498</v>
      </c>
      <c r="F610" s="15" t="s">
        <v>499</v>
      </c>
      <c r="G610" s="15"/>
      <c r="H610" s="9" t="s">
        <v>1511</v>
      </c>
      <c r="I610" s="27" t="s">
        <v>1512</v>
      </c>
      <c r="J610" s="5"/>
    </row>
    <row r="611" ht="15.75" customHeight="1">
      <c r="A611" s="29" t="s">
        <v>823</v>
      </c>
      <c r="B611" s="7" t="str">
        <f>HYPERLINK("https://boulwarefoundation.org/","Boulware Foundation")</f>
        <v>Boulware Foundation</v>
      </c>
      <c r="C611" s="8" t="s">
        <v>16</v>
      </c>
      <c r="D611" s="7" t="str">
        <f>HYPERLINK("https://boulwarefoundation.org/grantguidelines/","Grants")</f>
        <v>Grants</v>
      </c>
      <c r="E611" s="18" t="s">
        <v>1513</v>
      </c>
      <c r="F611" s="9" t="s">
        <v>1514</v>
      </c>
      <c r="G611" s="9"/>
      <c r="H611" s="9" t="s">
        <v>1184</v>
      </c>
      <c r="I611" s="27" t="s">
        <v>1515</v>
      </c>
      <c r="J611" s="5"/>
    </row>
    <row r="612" ht="15.75" customHeight="1">
      <c r="A612" s="29" t="s">
        <v>1467</v>
      </c>
      <c r="B612" s="24" t="str">
        <f>HYPERLINK("http://research.unc.edu/","University of North Carolina")</f>
        <v>University of North Carolina</v>
      </c>
      <c r="C612" s="18" t="s">
        <v>10</v>
      </c>
      <c r="D612" s="24" t="str">
        <f>HYPERLINK("http://research.unc.edu/carolina-postdocs/","Carolina Minority Postdoctoral Scholars Program")</f>
        <v>Carolina Minority Postdoctoral Scholars Program</v>
      </c>
      <c r="E612" s="18" t="s">
        <v>45</v>
      </c>
      <c r="F612" s="9" t="s">
        <v>1514</v>
      </c>
      <c r="G612" s="9" t="s">
        <v>1516</v>
      </c>
      <c r="H612" s="23" t="s">
        <v>1517</v>
      </c>
      <c r="I612" s="54" t="s">
        <v>1518</v>
      </c>
      <c r="J612" s="5"/>
    </row>
    <row r="613" ht="15.75" customHeight="1">
      <c r="A613" s="29" t="s">
        <v>1467</v>
      </c>
      <c r="B613" s="7" t="str">
        <f>HYPERLINK("http://pkf.org/","Pollock Krasner Foundation")</f>
        <v>Pollock Krasner Foundation</v>
      </c>
      <c r="C613" s="8" t="s">
        <v>16</v>
      </c>
      <c r="D613" s="7" t="s">
        <v>1317</v>
      </c>
      <c r="E613" s="18" t="s">
        <v>1519</v>
      </c>
      <c r="F613" s="9" t="s">
        <v>143</v>
      </c>
      <c r="G613" s="9"/>
      <c r="H613" s="9" t="s">
        <v>1034</v>
      </c>
      <c r="I613" s="27" t="s">
        <v>1520</v>
      </c>
      <c r="J613" s="5"/>
    </row>
    <row r="614" ht="15.75" customHeight="1">
      <c r="A614" s="29" t="s">
        <v>1467</v>
      </c>
      <c r="B614" s="24" t="str">
        <f>HYPERLINK("https://www.typeinvestigations.org","Puffin Foundation Investigative Fund")</f>
        <v>Puffin Foundation Investigative Fund</v>
      </c>
      <c r="C614" s="8" t="s">
        <v>16</v>
      </c>
      <c r="D614" s="24" t="s">
        <v>1521</v>
      </c>
      <c r="E614" s="18" t="s">
        <v>45</v>
      </c>
      <c r="F614" s="18" t="s">
        <v>143</v>
      </c>
      <c r="G614" s="9"/>
      <c r="H614" s="9"/>
      <c r="I614" s="27" t="s">
        <v>1522</v>
      </c>
      <c r="J614" s="5"/>
    </row>
    <row r="615" ht="15.75" customHeight="1">
      <c r="A615" s="29" t="s">
        <v>823</v>
      </c>
      <c r="B615" s="7" t="str">
        <f>HYPERLINK("http://roddenberryfoundation.org/","Roddenberry Foundation")</f>
        <v>Roddenberry Foundation</v>
      </c>
      <c r="C615" s="8" t="s">
        <v>16</v>
      </c>
      <c r="D615" s="7" t="str">
        <f>HYPERLINK("http://roddenberryfoundation.org/our-work/the-catalyst-fund/","The Catalyst Fund")</f>
        <v>The Catalyst Fund</v>
      </c>
      <c r="E615" s="18" t="s">
        <v>45</v>
      </c>
      <c r="F615" s="9" t="s">
        <v>143</v>
      </c>
      <c r="G615" s="9"/>
      <c r="H615" s="9" t="s">
        <v>1523</v>
      </c>
      <c r="I615" s="27" t="s">
        <v>1524</v>
      </c>
      <c r="J615" s="5"/>
    </row>
    <row r="616" ht="15.75" customHeight="1">
      <c r="A616" s="29" t="s">
        <v>1467</v>
      </c>
      <c r="B616" s="7" t="str">
        <f>HYPERLINK("http://www.chibs.edu.tw/","Chung-Hwa Institute of Buddhist Studies")</f>
        <v>Chung-Hwa Institute of Buddhist Studies</v>
      </c>
      <c r="C616" s="8" t="s">
        <v>16</v>
      </c>
      <c r="D616" s="7" t="str">
        <f>HYPERLINK("http://www.chibs.edu.tw/eng_html/index_eng00_07.html","Grant for Book-length Monographs")</f>
        <v>Grant for Book-length Monographs</v>
      </c>
      <c r="E616" s="18" t="s">
        <v>1168</v>
      </c>
      <c r="F616" s="9" t="s">
        <v>143</v>
      </c>
      <c r="G616" s="9"/>
      <c r="H616" s="9"/>
      <c r="I616" s="27" t="s">
        <v>1525</v>
      </c>
      <c r="J616" s="5"/>
    </row>
    <row r="617" ht="15.75" customHeight="1">
      <c r="A617" s="29" t="s">
        <v>1467</v>
      </c>
      <c r="B617" s="7" t="str">
        <f>HYPERLINK("https://www.carnegie.org/","Carnegie Corporation")</f>
        <v>Carnegie Corporation</v>
      </c>
      <c r="C617" s="8" t="s">
        <v>16</v>
      </c>
      <c r="D617" s="7" t="str">
        <f>HYPERLINK("https://www.carnegie.org/grants/","Grants")</f>
        <v>Grants</v>
      </c>
      <c r="E617" s="18" t="s">
        <v>45</v>
      </c>
      <c r="F617" s="9" t="s">
        <v>595</v>
      </c>
      <c r="G617" s="9"/>
      <c r="H617" s="9" t="s">
        <v>804</v>
      </c>
      <c r="I617" s="27" t="s">
        <v>1526</v>
      </c>
      <c r="J617" s="5"/>
    </row>
    <row r="618" ht="15.75" customHeight="1">
      <c r="A618" s="29" t="s">
        <v>823</v>
      </c>
      <c r="B618" s="7" t="str">
        <f t="shared" ref="B618:B619" si="44">HYPERLINK("http://humanitiesny.org","Humanities New York")</f>
        <v>Humanities New York</v>
      </c>
      <c r="C618" s="8" t="s">
        <v>1527</v>
      </c>
      <c r="D618" s="7" t="str">
        <f>HYPERLINK("http://humanitiesny.org/our-work/grants/","Quick Grants")</f>
        <v>Quick Grants</v>
      </c>
      <c r="E618" s="18" t="s">
        <v>82</v>
      </c>
      <c r="F618" s="9" t="s">
        <v>1001</v>
      </c>
      <c r="G618" s="9"/>
      <c r="H618" s="23">
        <v>500.0</v>
      </c>
      <c r="I618" s="27" t="s">
        <v>1528</v>
      </c>
      <c r="J618" s="5"/>
    </row>
    <row r="619" ht="15.75" customHeight="1">
      <c r="A619" s="29" t="s">
        <v>823</v>
      </c>
      <c r="B619" s="7" t="str">
        <f t="shared" si="44"/>
        <v>Humanities New York</v>
      </c>
      <c r="C619" s="8" t="s">
        <v>1527</v>
      </c>
      <c r="D619" s="7" t="str">
        <f>HYPERLINK("http://humanitiesny.org/our-work/grants/","Vision Grants")</f>
        <v>Vision Grants</v>
      </c>
      <c r="E619" s="18" t="s">
        <v>82</v>
      </c>
      <c r="F619" s="9" t="s">
        <v>1001</v>
      </c>
      <c r="G619" s="10"/>
      <c r="H619" s="23">
        <v>1500.0</v>
      </c>
      <c r="I619" s="27" t="s">
        <v>1529</v>
      </c>
      <c r="J619" s="5"/>
    </row>
    <row r="620" ht="15.75" customHeight="1">
      <c r="A620" s="6" t="s">
        <v>823</v>
      </c>
      <c r="B620" s="13" t="s">
        <v>1530</v>
      </c>
      <c r="C620" s="14" t="s">
        <v>16</v>
      </c>
      <c r="D620" s="13" t="s">
        <v>1531</v>
      </c>
      <c r="E620" s="6" t="s">
        <v>655</v>
      </c>
      <c r="F620" s="50" t="s">
        <v>46</v>
      </c>
      <c r="G620" s="9"/>
      <c r="H620" s="9"/>
      <c r="I620" s="16" t="s">
        <v>1532</v>
      </c>
      <c r="J620" s="5"/>
    </row>
    <row r="621" ht="15.75" customHeight="1">
      <c r="A621" s="29" t="s">
        <v>1467</v>
      </c>
      <c r="B621" s="7" t="str">
        <f>HYPERLINK("http://thereedfoundation.org/","Reed Foundation")</f>
        <v>Reed Foundation</v>
      </c>
      <c r="C621" s="8" t="s">
        <v>16</v>
      </c>
      <c r="D621" s="7" t="str">
        <f>HYPERLINK("http://thereedfoundation.org/landes/grants.html","Ruth Landes Memorial Research Fund")</f>
        <v>Ruth Landes Memorial Research Fund</v>
      </c>
      <c r="E621" s="18" t="s">
        <v>403</v>
      </c>
      <c r="F621" s="9" t="s">
        <v>90</v>
      </c>
      <c r="G621" s="9"/>
      <c r="H621" s="9" t="s">
        <v>1533</v>
      </c>
      <c r="I621" s="27" t="s">
        <v>1534</v>
      </c>
      <c r="J621" s="5"/>
    </row>
    <row r="622" ht="15.75" customHeight="1">
      <c r="A622" s="29" t="s">
        <v>1467</v>
      </c>
      <c r="B622" s="7" t="str">
        <f>HYPERLINK("http://taths.org.uk/","Tools and Trades History Society")</f>
        <v>Tools and Trades History Society</v>
      </c>
      <c r="C622" s="8" t="s">
        <v>16</v>
      </c>
      <c r="D622" s="7" t="str">
        <f>HYPERLINK("http://taths.org.uk/about/awards-and-grants","Salaman Awards")</f>
        <v>Salaman Awards</v>
      </c>
      <c r="E622" s="18" t="s">
        <v>663</v>
      </c>
      <c r="F622" s="9" t="s">
        <v>90</v>
      </c>
      <c r="G622" s="26"/>
      <c r="H622" s="23" t="s">
        <v>482</v>
      </c>
      <c r="I622" s="27" t="s">
        <v>1535</v>
      </c>
      <c r="J622" s="5"/>
    </row>
    <row r="623" ht="15.75" customHeight="1">
      <c r="A623" s="18" t="s">
        <v>823</v>
      </c>
      <c r="B623" s="24" t="str">
        <f>HYPERLINK("https://www.bioversityinternational.org/","Biodiversity International")</f>
        <v>Biodiversity International</v>
      </c>
      <c r="C623" s="8" t="s">
        <v>16</v>
      </c>
      <c r="D623" s="7" t="str">
        <f>HYPERLINK("https://www.bioversityinternational.org/about-us/opportunities/fellowships/","Research Fellowship ")</f>
        <v>Research Fellowship </v>
      </c>
      <c r="E623" s="18" t="s">
        <v>77</v>
      </c>
      <c r="F623" s="9" t="s">
        <v>90</v>
      </c>
      <c r="G623" s="9"/>
      <c r="H623" s="9"/>
      <c r="I623" s="92" t="s">
        <v>1536</v>
      </c>
      <c r="J623" s="5"/>
    </row>
    <row r="624" ht="15.75" customHeight="1">
      <c r="A624" s="29" t="s">
        <v>823</v>
      </c>
      <c r="B624" s="24" t="s">
        <v>124</v>
      </c>
      <c r="C624" s="8" t="s">
        <v>41</v>
      </c>
      <c r="D624" s="7" t="str">
        <f>HYPERLINK("https://www.nsf.gov/funding/pgm_summ.jsp?pims_id=505250","Electronics, Photonics, and Magnetic Devices")</f>
        <v>Electronics, Photonics, and Magnetic Devices</v>
      </c>
      <c r="E624" s="18" t="s">
        <v>77</v>
      </c>
      <c r="F624" s="9" t="s">
        <v>90</v>
      </c>
      <c r="G624" s="9"/>
      <c r="H624" s="9"/>
      <c r="I624" s="27" t="s">
        <v>1537</v>
      </c>
      <c r="J624" s="5"/>
    </row>
    <row r="625" ht="15.75" customHeight="1">
      <c r="A625" s="29" t="s">
        <v>823</v>
      </c>
      <c r="B625" s="24" t="s">
        <v>124</v>
      </c>
      <c r="C625" s="8" t="s">
        <v>41</v>
      </c>
      <c r="D625" s="7" t="str">
        <f>HYPERLINK("https://www.nsf.gov/funding/pgm_summ.jsp?pims_id=505249","Energy, Power, Control, and Networks")</f>
        <v>Energy, Power, Control, and Networks</v>
      </c>
      <c r="E625" s="18" t="s">
        <v>77</v>
      </c>
      <c r="F625" s="9" t="s">
        <v>90</v>
      </c>
      <c r="G625" s="9"/>
      <c r="H625" s="9"/>
      <c r="I625" s="27" t="s">
        <v>1538</v>
      </c>
      <c r="J625" s="5"/>
    </row>
    <row r="626" ht="15.75" customHeight="1">
      <c r="A626" s="29" t="s">
        <v>823</v>
      </c>
      <c r="B626" s="24" t="s">
        <v>124</v>
      </c>
      <c r="C626" s="8" t="s">
        <v>41</v>
      </c>
      <c r="D626" s="7" t="str">
        <f>HYPERLINK("https://www.nsf.gov/funding/pgm_summ.jsp?pims_id=505248","Communications, Circuits, and Sensing-Systems")</f>
        <v>Communications, Circuits, and Sensing-Systems</v>
      </c>
      <c r="E626" s="18" t="s">
        <v>77</v>
      </c>
      <c r="F626" s="9" t="s">
        <v>90</v>
      </c>
      <c r="G626" s="9"/>
      <c r="H626" s="9"/>
      <c r="I626" s="27" t="s">
        <v>1539</v>
      </c>
      <c r="J626" s="5"/>
    </row>
    <row r="627" ht="15.75" customHeight="1">
      <c r="A627" s="29" t="s">
        <v>823</v>
      </c>
      <c r="B627" s="24" t="s">
        <v>124</v>
      </c>
      <c r="C627" s="8" t="s">
        <v>41</v>
      </c>
      <c r="D627" s="7" t="str">
        <f>HYPERLINK("https://www.nsf.gov/funding/pgm_summ.jsp?pims_id=504709","Secure and trustworthy Cyberspace")</f>
        <v>Secure and trustworthy Cyberspace</v>
      </c>
      <c r="E627" s="18" t="s">
        <v>77</v>
      </c>
      <c r="F627" s="9" t="s">
        <v>90</v>
      </c>
      <c r="G627" s="9"/>
      <c r="H627" s="9"/>
      <c r="I627" s="27" t="s">
        <v>1540</v>
      </c>
      <c r="J627" s="5"/>
    </row>
    <row r="628" ht="15.75" customHeight="1">
      <c r="A628" s="18" t="s">
        <v>823</v>
      </c>
      <c r="B628" s="24" t="s">
        <v>124</v>
      </c>
      <c r="C628" s="8" t="s">
        <v>41</v>
      </c>
      <c r="D628" s="7" t="s">
        <v>1541</v>
      </c>
      <c r="E628" s="18" t="s">
        <v>77</v>
      </c>
      <c r="F628" s="15" t="s">
        <v>90</v>
      </c>
      <c r="G628" s="15"/>
      <c r="H628" s="9"/>
      <c r="I628" s="27" t="s">
        <v>1542</v>
      </c>
      <c r="J628" s="5"/>
    </row>
    <row r="629" ht="15.75" customHeight="1">
      <c r="A629" s="29" t="s">
        <v>1467</v>
      </c>
      <c r="B629" s="7" t="str">
        <f>HYPERLINK("https://caves.org/","National Speleological Society")</f>
        <v>National Speleological Society</v>
      </c>
      <c r="C629" s="8" t="s">
        <v>16</v>
      </c>
      <c r="D629" s="7" t="str">
        <f>HYPERLINK("https://caves.org/grants/index.shtml","Research Grants")</f>
        <v>Research Grants</v>
      </c>
      <c r="E629" s="18" t="s">
        <v>188</v>
      </c>
      <c r="F629" s="9" t="s">
        <v>90</v>
      </c>
      <c r="G629" s="9"/>
      <c r="H629" s="9"/>
      <c r="I629" s="27" t="s">
        <v>1543</v>
      </c>
      <c r="J629" s="5"/>
    </row>
    <row r="630" ht="15.75" customHeight="1">
      <c r="A630" s="18" t="s">
        <v>823</v>
      </c>
      <c r="B630" s="7" t="str">
        <f>HYPERLINK("https://www.srf.org/","Smith Richardson Foundation")</f>
        <v>Smith Richardson Foundation</v>
      </c>
      <c r="C630" s="8" t="s">
        <v>16</v>
      </c>
      <c r="D630" s="98" t="str">
        <f>HYPERLINK("https://www.srf.org/apply-now/","Grants")</f>
        <v>Grants</v>
      </c>
      <c r="E630" s="18" t="s">
        <v>43</v>
      </c>
      <c r="F630" s="18" t="s">
        <v>90</v>
      </c>
      <c r="G630" s="10"/>
      <c r="H630" s="9" t="s">
        <v>1544</v>
      </c>
      <c r="I630" s="27" t="s">
        <v>1545</v>
      </c>
      <c r="J630" s="5"/>
    </row>
    <row r="631" ht="15.75" customHeight="1">
      <c r="A631" s="29" t="s">
        <v>1467</v>
      </c>
      <c r="B631" s="24" t="s">
        <v>124</v>
      </c>
      <c r="C631" s="8" t="s">
        <v>41</v>
      </c>
      <c r="D631" s="7" t="str">
        <f>HYPERLINK("https://www.nsf.gov/funding/pgm_summ.jsp?pims_id=5319","High-Risk Research in Biological Anthropology and Archeology")</f>
        <v>High-Risk Research in Biological Anthropology and Archeology</v>
      </c>
      <c r="E631" s="18" t="s">
        <v>163</v>
      </c>
      <c r="F631" s="9" t="s">
        <v>477</v>
      </c>
      <c r="G631" s="122"/>
      <c r="H631" s="23">
        <v>25000.0</v>
      </c>
      <c r="I631" s="27" t="s">
        <v>1546</v>
      </c>
      <c r="J631" s="5"/>
    </row>
    <row r="632" ht="15.75" customHeight="1">
      <c r="A632" s="29" t="s">
        <v>823</v>
      </c>
      <c r="B632" s="7" t="str">
        <f>HYPERLINK("https://www.baylor.edu/","Baylor University Library")</f>
        <v>Baylor University Library</v>
      </c>
      <c r="C632" s="8" t="s">
        <v>10</v>
      </c>
      <c r="D632" s="7" t="s">
        <v>1547</v>
      </c>
      <c r="E632" s="18" t="s">
        <v>328</v>
      </c>
      <c r="F632" s="9" t="s">
        <v>90</v>
      </c>
      <c r="G632" s="9"/>
      <c r="H632" s="23">
        <v>500.0</v>
      </c>
      <c r="I632" s="27" t="s">
        <v>1548</v>
      </c>
      <c r="J632" s="5"/>
    </row>
    <row r="633" ht="15.75" customHeight="1">
      <c r="A633" s="29" t="s">
        <v>1467</v>
      </c>
      <c r="B633" s="7" t="str">
        <f>HYPERLINK("https://www.sfari.org","Simons Foundation")</f>
        <v>Simons Foundation</v>
      </c>
      <c r="C633" s="8" t="s">
        <v>16</v>
      </c>
      <c r="D633" s="7" t="s">
        <v>1549</v>
      </c>
      <c r="E633" s="18" t="s">
        <v>106</v>
      </c>
      <c r="F633" s="9" t="s">
        <v>1432</v>
      </c>
      <c r="G633" s="9"/>
      <c r="H633" s="9" t="s">
        <v>1550</v>
      </c>
      <c r="I633" s="27" t="s">
        <v>1551</v>
      </c>
      <c r="J633" s="5"/>
    </row>
    <row r="634" ht="15.75" customHeight="1">
      <c r="A634" s="29" t="s">
        <v>1467</v>
      </c>
      <c r="B634" s="7" t="str">
        <f>HYPERLINK("http://beta.global.columbia.edu","Columbia")</f>
        <v>Columbia</v>
      </c>
      <c r="C634" s="8" t="s">
        <v>10</v>
      </c>
      <c r="D634" s="24" t="str">
        <f>HYPERLINK("https://globalcenters.columbia.edu/cgc-pgif","President's Global Innovation Fund")</f>
        <v>President's Global Innovation Fund</v>
      </c>
      <c r="E634" s="9" t="s">
        <v>45</v>
      </c>
      <c r="F634" s="9" t="s">
        <v>1552</v>
      </c>
      <c r="G634" s="10"/>
      <c r="H634" s="10" t="s">
        <v>946</v>
      </c>
      <c r="I634" s="123" t="s">
        <v>1553</v>
      </c>
      <c r="J634" s="5"/>
    </row>
    <row r="635" ht="15.75" customHeight="1">
      <c r="A635" s="29" t="s">
        <v>1467</v>
      </c>
      <c r="B635" s="7" t="str">
        <f>HYPERLINK("https://oral.history.ufl.edu/","University of Florida Samuel Proctor Oral History Program")</f>
        <v>University of Florida Samuel Proctor Oral History Program</v>
      </c>
      <c r="C635" s="8" t="s">
        <v>10</v>
      </c>
      <c r="D635" s="7" t="s">
        <v>1554</v>
      </c>
      <c r="E635" s="18" t="s">
        <v>61</v>
      </c>
      <c r="F635" s="9" t="s">
        <v>71</v>
      </c>
      <c r="G635" s="9"/>
      <c r="H635" s="77">
        <v>1000.0</v>
      </c>
      <c r="I635" s="27" t="s">
        <v>1555</v>
      </c>
      <c r="J635" s="5"/>
    </row>
    <row r="636" ht="15.75" customHeight="1">
      <c r="A636" s="29" t="s">
        <v>1467</v>
      </c>
      <c r="B636" s="7" t="str">
        <f>HYPERLINK("http://pulitzercenter.org","Pulitzer Center")</f>
        <v>Pulitzer Center</v>
      </c>
      <c r="C636" s="8" t="s">
        <v>49</v>
      </c>
      <c r="D636" s="7" t="s">
        <v>1556</v>
      </c>
      <c r="E636" s="18" t="s">
        <v>45</v>
      </c>
      <c r="F636" s="9" t="s">
        <v>71</v>
      </c>
      <c r="G636" s="9"/>
      <c r="H636" s="9" t="s">
        <v>1557</v>
      </c>
      <c r="I636" s="27" t="s">
        <v>1558</v>
      </c>
      <c r="J636" s="5"/>
    </row>
    <row r="637" ht="15.75" customHeight="1">
      <c r="A637" s="29" t="s">
        <v>1467</v>
      </c>
      <c r="B637" s="24" t="str">
        <f>HYPERLINK("http://maxkadefoundation.org/","Max Kade Foundation")</f>
        <v>Max Kade Foundation</v>
      </c>
      <c r="C637" s="8" t="s">
        <v>16</v>
      </c>
      <c r="D637" s="7" t="s">
        <v>759</v>
      </c>
      <c r="E637" s="18" t="s">
        <v>1559</v>
      </c>
      <c r="F637" s="9" t="s">
        <v>71</v>
      </c>
      <c r="G637" s="9"/>
      <c r="H637" s="9"/>
      <c r="I637" s="27" t="s">
        <v>1560</v>
      </c>
      <c r="J637" s="5"/>
    </row>
    <row r="638" ht="15.75" customHeight="1">
      <c r="A638" s="29" t="s">
        <v>1467</v>
      </c>
      <c r="B638" s="7" t="str">
        <f>HYPERLINK("https://theihs.org/","Institute for Humane Studies")</f>
        <v>Institute for Humane Studies</v>
      </c>
      <c r="C638" s="8" t="s">
        <v>16</v>
      </c>
      <c r="D638" s="7" t="s">
        <v>1561</v>
      </c>
      <c r="E638" s="18" t="s">
        <v>45</v>
      </c>
      <c r="F638" s="9" t="s">
        <v>1562</v>
      </c>
      <c r="G638" s="9" t="s">
        <v>72</v>
      </c>
      <c r="H638" s="9"/>
      <c r="I638" s="27" t="s">
        <v>1563</v>
      </c>
      <c r="J638" s="5"/>
    </row>
    <row r="639" ht="15.75" customHeight="1">
      <c r="A639" s="18" t="s">
        <v>823</v>
      </c>
      <c r="B639" s="7" t="str">
        <f>HYPERLINK("https://www.hkbu.edu.hk/eng/main/index.jsp","Lam Institute for East-West Studies")</f>
        <v>Lam Institute for East-West Studies</v>
      </c>
      <c r="C639" s="8" t="s">
        <v>10</v>
      </c>
      <c r="D639" s="7" t="str">
        <f>HYPERLINK("http://lewi.hkbu.edu.hk/scholar-in-residence-programme/","Scholar-in-Residence-Programme")</f>
        <v>Scholar-in-Residence-Programme</v>
      </c>
      <c r="E639" s="18" t="s">
        <v>128</v>
      </c>
      <c r="F639" s="9" t="s">
        <v>66</v>
      </c>
      <c r="G639" s="9"/>
      <c r="H639" s="23"/>
      <c r="I639" s="27" t="s">
        <v>1564</v>
      </c>
      <c r="J639" s="5"/>
    </row>
    <row r="640" ht="15.75" customHeight="1">
      <c r="A640" s="18" t="s">
        <v>823</v>
      </c>
      <c r="B640" s="7" t="str">
        <f>HYPERLINK("https://www.iasa-web.org/","International Association of Sound and Audiovisual Archives")</f>
        <v>International Association of Sound and Audiovisual Archives</v>
      </c>
      <c r="C640" s="48" t="s">
        <v>49</v>
      </c>
      <c r="D640" s="98" t="str">
        <f>HYPERLINK("https://www.iasa-web.org/research-grant","Research Grants")</f>
        <v>Research Grants</v>
      </c>
      <c r="E640" s="18" t="s">
        <v>419</v>
      </c>
      <c r="F640" s="9" t="s">
        <v>90</v>
      </c>
      <c r="G640" s="9"/>
      <c r="H640" s="9" t="s">
        <v>1565</v>
      </c>
      <c r="I640" s="27" t="s">
        <v>1566</v>
      </c>
      <c r="J640" s="5"/>
    </row>
    <row r="641" ht="15.75" customHeight="1">
      <c r="A641" s="29" t="s">
        <v>823</v>
      </c>
      <c r="B641" s="24" t="s">
        <v>124</v>
      </c>
      <c r="C641" s="8" t="s">
        <v>41</v>
      </c>
      <c r="D641" s="7" t="s">
        <v>1567</v>
      </c>
      <c r="E641" s="18" t="s">
        <v>77</v>
      </c>
      <c r="F641" s="9" t="s">
        <v>90</v>
      </c>
      <c r="G641" s="26"/>
      <c r="H641" s="9"/>
      <c r="I641" s="27" t="s">
        <v>1568</v>
      </c>
      <c r="J641" s="5"/>
    </row>
    <row r="642" ht="15.75" customHeight="1">
      <c r="A642" s="29" t="s">
        <v>823</v>
      </c>
      <c r="B642" s="24" t="s">
        <v>124</v>
      </c>
      <c r="C642" s="8" t="s">
        <v>41</v>
      </c>
      <c r="D642" s="7" t="s">
        <v>1569</v>
      </c>
      <c r="E642" s="18" t="s">
        <v>1570</v>
      </c>
      <c r="F642" s="9" t="s">
        <v>90</v>
      </c>
      <c r="G642" s="26"/>
      <c r="H642" s="9"/>
      <c r="I642" s="27" t="s">
        <v>1571</v>
      </c>
      <c r="J642" s="5"/>
    </row>
    <row r="643" ht="15.75" customHeight="1">
      <c r="A643" s="6" t="s">
        <v>1467</v>
      </c>
      <c r="B643" s="13" t="s">
        <v>1572</v>
      </c>
      <c r="C643" s="14" t="s">
        <v>16</v>
      </c>
      <c r="D643" s="13" t="s">
        <v>1573</v>
      </c>
      <c r="E643" s="6" t="s">
        <v>45</v>
      </c>
      <c r="F643" s="50" t="s">
        <v>90</v>
      </c>
      <c r="G643" s="9"/>
      <c r="H643" s="9"/>
      <c r="I643" s="53" t="s">
        <v>1574</v>
      </c>
      <c r="J643" s="5"/>
    </row>
    <row r="644" ht="15.75" customHeight="1">
      <c r="A644" s="6" t="s">
        <v>1467</v>
      </c>
      <c r="B644" s="13" t="s">
        <v>1575</v>
      </c>
      <c r="C644" s="14" t="s">
        <v>16</v>
      </c>
      <c r="D644" s="13" t="s">
        <v>110</v>
      </c>
      <c r="E644" s="6" t="s">
        <v>1576</v>
      </c>
      <c r="F644" s="50" t="s">
        <v>46</v>
      </c>
      <c r="G644" s="9"/>
      <c r="H644" s="124"/>
      <c r="I644" s="53" t="s">
        <v>1577</v>
      </c>
      <c r="J644" s="5"/>
    </row>
    <row r="645" ht="15.75" customHeight="1">
      <c r="A645" s="6" t="s">
        <v>1467</v>
      </c>
      <c r="B645" s="13" t="s">
        <v>1578</v>
      </c>
      <c r="C645" s="14" t="s">
        <v>16</v>
      </c>
      <c r="D645" s="13" t="s">
        <v>1579</v>
      </c>
      <c r="E645" s="6" t="s">
        <v>850</v>
      </c>
      <c r="F645" s="50" t="s">
        <v>46</v>
      </c>
      <c r="G645" s="9"/>
      <c r="H645" s="124" t="s">
        <v>1580</v>
      </c>
      <c r="I645" s="125" t="s">
        <v>1581</v>
      </c>
      <c r="J645" s="5"/>
    </row>
    <row r="646" ht="15.75" customHeight="1">
      <c r="A646" s="6" t="s">
        <v>1467</v>
      </c>
      <c r="B646" s="13" t="s">
        <v>1582</v>
      </c>
      <c r="C646" s="14" t="s">
        <v>16</v>
      </c>
      <c r="D646" s="13" t="s">
        <v>1582</v>
      </c>
      <c r="E646" s="6" t="s">
        <v>655</v>
      </c>
      <c r="F646" s="9"/>
      <c r="G646" s="9"/>
      <c r="H646" s="9"/>
      <c r="I646" s="16" t="s">
        <v>1583</v>
      </c>
      <c r="J646" s="5"/>
    </row>
    <row r="647" ht="15.75" customHeight="1">
      <c r="A647" s="6" t="s">
        <v>823</v>
      </c>
      <c r="B647" s="13" t="s">
        <v>1584</v>
      </c>
      <c r="C647" s="14" t="s">
        <v>16</v>
      </c>
      <c r="D647" s="13" t="s">
        <v>1585</v>
      </c>
      <c r="E647" s="6" t="s">
        <v>128</v>
      </c>
      <c r="F647" s="50" t="s">
        <v>138</v>
      </c>
      <c r="G647" s="9"/>
      <c r="H647" s="9"/>
      <c r="I647" s="16" t="s">
        <v>1586</v>
      </c>
      <c r="J647" s="5"/>
    </row>
    <row r="648" ht="15.75" customHeight="1">
      <c r="A648" s="29" t="s">
        <v>1587</v>
      </c>
      <c r="B648" s="7" t="str">
        <f t="shared" ref="B648:B649" si="45">HYPERLINK("http://www.jfny.org/","Japanese Foundation of New York")</f>
        <v>Japanese Foundation of New York</v>
      </c>
      <c r="C648" s="8" t="s">
        <v>16</v>
      </c>
      <c r="D648" s="24" t="s">
        <v>1588</v>
      </c>
      <c r="E648" s="18" t="s">
        <v>429</v>
      </c>
      <c r="F648" s="9"/>
      <c r="G648" s="9"/>
      <c r="H648" s="9" t="s">
        <v>1002</v>
      </c>
      <c r="I648" s="27" t="s">
        <v>1589</v>
      </c>
      <c r="J648" s="5"/>
    </row>
    <row r="649" ht="15.75" customHeight="1">
      <c r="A649" s="29" t="s">
        <v>1587</v>
      </c>
      <c r="B649" s="7" t="str">
        <f t="shared" si="45"/>
        <v>Japanese Foundation of New York</v>
      </c>
      <c r="C649" s="8" t="s">
        <v>16</v>
      </c>
      <c r="D649" s="24" t="s">
        <v>1590</v>
      </c>
      <c r="E649" s="18" t="s">
        <v>429</v>
      </c>
      <c r="F649" s="9"/>
      <c r="G649" s="9"/>
      <c r="H649" s="9" t="s">
        <v>1002</v>
      </c>
      <c r="I649" s="27" t="s">
        <v>1591</v>
      </c>
      <c r="J649" s="5"/>
    </row>
    <row r="650" ht="15.75" customHeight="1">
      <c r="A650" s="29" t="s">
        <v>1592</v>
      </c>
      <c r="B650" s="43" t="str">
        <f>HYPERLINK("https://www.bsf.org.il","United States-Israel Binational Science Foundation")</f>
        <v>United States-Israel Binational Science Foundation</v>
      </c>
      <c r="C650" s="8" t="s">
        <v>16</v>
      </c>
      <c r="D650" s="126" t="str">
        <f>HYPERLINK("hhttps://www.bsf.org.il/funding-opportunities/nsf-bsf-joint-research-grants/about/","Regular Program")</f>
        <v>Regular Program</v>
      </c>
      <c r="E650" s="18" t="s">
        <v>77</v>
      </c>
      <c r="F650" s="9" t="s">
        <v>90</v>
      </c>
      <c r="G650" s="9"/>
      <c r="H650" s="9" t="s">
        <v>1593</v>
      </c>
      <c r="I650" s="27" t="s">
        <v>1594</v>
      </c>
      <c r="J650" s="5"/>
    </row>
    <row r="651" ht="15.75" customHeight="1">
      <c r="A651" s="29" t="s">
        <v>1595</v>
      </c>
      <c r="B651" s="24" t="s">
        <v>1596</v>
      </c>
      <c r="C651" s="8" t="s">
        <v>16</v>
      </c>
      <c r="D651" s="7" t="str">
        <f>HYPERLINK("https://static1.squarespace.com/static/57d1b689e6f2e1faa4ced747/t/593897e9e58c62df43a64180/1496881131295/Visit+Us+And+Work+With+Us.pdf","Fellowships/ Library Opportunities")</f>
        <v>Fellowships/ Library Opportunities</v>
      </c>
      <c r="E651" s="18" t="s">
        <v>1597</v>
      </c>
      <c r="F651" s="9" t="s">
        <v>90</v>
      </c>
      <c r="G651" s="9" t="s">
        <v>1598</v>
      </c>
      <c r="H651" s="9" t="s">
        <v>1599</v>
      </c>
      <c r="I651" s="27" t="s">
        <v>1600</v>
      </c>
      <c r="J651" s="5"/>
    </row>
    <row r="652" ht="15.75" customHeight="1">
      <c r="A652" s="6" t="s">
        <v>1601</v>
      </c>
      <c r="B652" s="13" t="s">
        <v>1602</v>
      </c>
      <c r="C652" s="14" t="s">
        <v>10</v>
      </c>
      <c r="D652" s="13" t="s">
        <v>1603</v>
      </c>
      <c r="E652" s="6" t="s">
        <v>128</v>
      </c>
      <c r="F652" s="50" t="s">
        <v>66</v>
      </c>
      <c r="G652" s="50" t="s">
        <v>1604</v>
      </c>
      <c r="H652" s="9"/>
      <c r="I652" s="16" t="s">
        <v>1605</v>
      </c>
      <c r="J652" s="5"/>
    </row>
    <row r="653" ht="15.75" customHeight="1">
      <c r="A653" s="6" t="s">
        <v>1606</v>
      </c>
      <c r="B653" s="7" t="str">
        <f>HYPERLINK("https://www.obama.org/","Obama Foundation")</f>
        <v>Obama Foundation</v>
      </c>
      <c r="C653" s="8" t="s">
        <v>16</v>
      </c>
      <c r="D653" s="13" t="s">
        <v>66</v>
      </c>
      <c r="E653" s="18" t="s">
        <v>45</v>
      </c>
      <c r="F653" s="9" t="s">
        <v>66</v>
      </c>
      <c r="G653" s="9"/>
      <c r="H653" s="9" t="s">
        <v>1607</v>
      </c>
      <c r="I653" s="27" t="s">
        <v>1608</v>
      </c>
      <c r="J653" s="5"/>
    </row>
    <row r="654" ht="15.75" customHeight="1">
      <c r="A654" s="6" t="s">
        <v>68</v>
      </c>
      <c r="B654" s="7" t="str">
        <f>HYPERLINK("http://artomi.org/","Art Omi")</f>
        <v>Art Omi</v>
      </c>
      <c r="C654" s="8" t="s">
        <v>16</v>
      </c>
      <c r="D654" s="7" t="str">
        <f>HYPERLINK("http://artomi.org/residencies/writers","Art Omi: Writers Residency")</f>
        <v>Art Omi: Writers Residency</v>
      </c>
      <c r="E654" s="18" t="s">
        <v>1392</v>
      </c>
      <c r="F654" s="15" t="s">
        <v>34</v>
      </c>
      <c r="G654" s="15"/>
      <c r="H654" s="9" t="s">
        <v>702</v>
      </c>
      <c r="I654" s="16" t="s">
        <v>1609</v>
      </c>
      <c r="J654" s="5"/>
    </row>
    <row r="655" ht="15.75" customHeight="1">
      <c r="A655" s="6" t="s">
        <v>68</v>
      </c>
      <c r="B655" s="7" t="str">
        <f>HYPERLINK("https://library.princeton.edu/","Princeton University Library")</f>
        <v>Princeton University Library</v>
      </c>
      <c r="C655" s="8" t="s">
        <v>10</v>
      </c>
      <c r="D655" s="7" t="str">
        <f>HYPERLINK("https://rbsc.princeton.edu/friends-princeton-university-library-research-grants","Library Research Grants")</f>
        <v>Library Research Grants</v>
      </c>
      <c r="E655" s="18" t="s">
        <v>128</v>
      </c>
      <c r="F655" s="9" t="s">
        <v>110</v>
      </c>
      <c r="G655" s="9"/>
      <c r="H655" s="9" t="s">
        <v>1610</v>
      </c>
      <c r="I655" s="16" t="s">
        <v>1611</v>
      </c>
      <c r="J655" s="5"/>
    </row>
    <row r="656" ht="15.75" customHeight="1">
      <c r="A656" s="6" t="s">
        <v>68</v>
      </c>
      <c r="B656" s="7" t="str">
        <f>HYPERLINK("https://www.gladstoneslibrary.org/","Gladstone's Library, Wales")</f>
        <v>Gladstone's Library, Wales</v>
      </c>
      <c r="C656" s="8" t="s">
        <v>49</v>
      </c>
      <c r="D656" s="7" t="str">
        <f>HYPERLINK("https://www.gladstoneslibrary.org/accommodation/scholarships-bursaries","Residential Scholarships")</f>
        <v>Residential Scholarships</v>
      </c>
      <c r="E656" s="18" t="s">
        <v>128</v>
      </c>
      <c r="F656" s="9" t="s">
        <v>46</v>
      </c>
      <c r="G656" s="9"/>
      <c r="H656" s="23"/>
      <c r="I656" s="16" t="s">
        <v>1612</v>
      </c>
      <c r="J656" s="5"/>
    </row>
    <row r="657" ht="15.75" customHeight="1">
      <c r="A657" s="6" t="s">
        <v>68</v>
      </c>
      <c r="B657" s="7" t="str">
        <f>HYPERLINK("https://www.amphilsoc.org/","American Philosophical Society")</f>
        <v>American Philosophical Society</v>
      </c>
      <c r="C657" s="8" t="s">
        <v>16</v>
      </c>
      <c r="D657" s="7" t="str">
        <f>HYPERLINK("https://www.amphilsoc.org/grants/library-short-term-resident-research-fellowships","Library Short Term Resident Research Fellowships")</f>
        <v>Library Short Term Resident Research Fellowships</v>
      </c>
      <c r="E657" s="18" t="s">
        <v>128</v>
      </c>
      <c r="F657" s="9" t="s">
        <v>34</v>
      </c>
      <c r="G657" s="9"/>
      <c r="H657" s="23">
        <v>3000.0</v>
      </c>
      <c r="I657" s="16" t="s">
        <v>1613</v>
      </c>
      <c r="J657" s="5"/>
    </row>
    <row r="658" ht="15.75" customHeight="1">
      <c r="A658" s="6" t="s">
        <v>68</v>
      </c>
      <c r="B658" s="7" t="str">
        <f>HYPERLINK("https://wp.stolaf.edu/","St. Olaf College")</f>
        <v>St. Olaf College</v>
      </c>
      <c r="C658" s="8" t="s">
        <v>10</v>
      </c>
      <c r="D658" s="7" t="str">
        <f>HYPERLINK("https://wp.stolaf.edu/kierkegaard/summer-fellows/","Summer Fellows Program for Research in Residence")</f>
        <v>Summer Fellows Program for Research in Residence</v>
      </c>
      <c r="E658" s="18" t="s">
        <v>128</v>
      </c>
      <c r="F658" s="15" t="s">
        <v>34</v>
      </c>
      <c r="G658" s="18"/>
      <c r="H658" s="9"/>
      <c r="I658" s="16" t="s">
        <v>1614</v>
      </c>
      <c r="J658" s="5"/>
    </row>
    <row r="659" ht="15.75" customHeight="1">
      <c r="A659" s="127" t="s">
        <v>322</v>
      </c>
      <c r="B659" s="45" t="str">
        <f>HYPERLINK("http://teachpsych.org/index.php","Society for the Teaching of Psychology")</f>
        <v>Society for the Teaching of Psychology</v>
      </c>
      <c r="C659" s="46" t="s">
        <v>16</v>
      </c>
      <c r="D659" s="45" t="str">
        <f>HYPERLINK("http://teachpsych.org/members/awards/sage.php","SAGE Teaching Innovations &amp; Professional Development Award")</f>
        <v>SAGE Teaching Innovations &amp; Professional Development Award</v>
      </c>
      <c r="E659" s="35" t="s">
        <v>235</v>
      </c>
      <c r="F659" s="35" t="s">
        <v>71</v>
      </c>
      <c r="G659" s="36"/>
      <c r="H659" s="52">
        <v>1250.0</v>
      </c>
      <c r="I659" s="39" t="s">
        <v>1615</v>
      </c>
      <c r="J659" s="5"/>
    </row>
    <row r="660" ht="15.75" customHeight="1">
      <c r="A660" s="127" t="s">
        <v>322</v>
      </c>
      <c r="B660" s="45" t="str">
        <f>HYPERLINK("https://www.unimelb.edu.au/","University of Melbourne")</f>
        <v>University of Melbourne</v>
      </c>
      <c r="C660" s="46" t="s">
        <v>10</v>
      </c>
      <c r="D660" s="45" t="str">
        <f>HYPERLINK("https://museumsandcollections.unimelb.edu.au/fellowships_and_awards/redmond_barry_fellowship#home","Redmond Barry Fellowship")</f>
        <v>Redmond Barry Fellowship</v>
      </c>
      <c r="E660" s="35" t="s">
        <v>1346</v>
      </c>
      <c r="F660" s="36" t="s">
        <v>87</v>
      </c>
      <c r="G660" s="36"/>
      <c r="H660" s="52">
        <v>20000.0</v>
      </c>
      <c r="I660" s="39" t="s">
        <v>1616</v>
      </c>
      <c r="J660" s="5"/>
    </row>
    <row r="661" ht="15.75" customHeight="1">
      <c r="A661" s="28">
        <v>45108.0</v>
      </c>
      <c r="B661" s="7" t="str">
        <f>HYPERLINK("http://artomi.org/","Art Omi")</f>
        <v>Art Omi</v>
      </c>
      <c r="C661" s="8" t="s">
        <v>16</v>
      </c>
      <c r="D661" s="22" t="s">
        <v>1617</v>
      </c>
      <c r="E661" s="18" t="s">
        <v>142</v>
      </c>
      <c r="F661" s="15" t="s">
        <v>143</v>
      </c>
      <c r="G661" s="15"/>
      <c r="H661" s="9" t="s">
        <v>1618</v>
      </c>
      <c r="I661" s="16" t="s">
        <v>1619</v>
      </c>
      <c r="J661" s="5"/>
    </row>
    <row r="662" ht="15.75" customHeight="1">
      <c r="A662" s="6" t="s">
        <v>68</v>
      </c>
      <c r="B662" s="7" t="str">
        <f>HYPERLINK("https://www.sas.ac.uk/","Univeristy of London, School of Advanced Study")</f>
        <v>Univeristy of London, School of Advanced Study</v>
      </c>
      <c r="C662" s="8" t="s">
        <v>10</v>
      </c>
      <c r="D662" s="7" t="str">
        <f>HYPERLINK("https://ics.sas.ac.uk/awards/fellowships","Institute of Classical Studies Fellowships")</f>
        <v>Institute of Classical Studies Fellowships</v>
      </c>
      <c r="E662" s="18" t="s">
        <v>93</v>
      </c>
      <c r="F662" s="9" t="s">
        <v>87</v>
      </c>
      <c r="G662" s="9"/>
      <c r="H662" s="23" t="s">
        <v>1620</v>
      </c>
      <c r="I662" s="41" t="s">
        <v>1621</v>
      </c>
      <c r="J662" s="5"/>
    </row>
    <row r="663" ht="15.75" customHeight="1">
      <c r="A663" s="6" t="s">
        <v>1622</v>
      </c>
      <c r="B663" s="17" t="s">
        <v>1623</v>
      </c>
      <c r="C663" s="8" t="s">
        <v>16</v>
      </c>
      <c r="D663" s="7" t="s">
        <v>1624</v>
      </c>
      <c r="E663" s="18" t="s">
        <v>45</v>
      </c>
      <c r="F663" s="9" t="s">
        <v>66</v>
      </c>
      <c r="G663" s="9"/>
      <c r="H663" s="9" t="s">
        <v>1625</v>
      </c>
      <c r="I663" s="16" t="s">
        <v>1626</v>
      </c>
      <c r="J663" s="5"/>
    </row>
    <row r="664" ht="15.75" customHeight="1">
      <c r="A664" s="6" t="s">
        <v>68</v>
      </c>
      <c r="B664" s="7" t="str">
        <f>HYPERLINK("http://www.crassh.cam.ac.uk/","CRASSH Center for Research in the Arts, Social Sciences, and Humanities")</f>
        <v>CRASSH Center for Research in the Arts, Social Sciences, and Humanities</v>
      </c>
      <c r="C664" s="8" t="s">
        <v>16</v>
      </c>
      <c r="D664" s="13" t="s">
        <v>1627</v>
      </c>
      <c r="E664" s="18" t="s">
        <v>61</v>
      </c>
      <c r="F664" s="9" t="s">
        <v>34</v>
      </c>
      <c r="G664" s="9"/>
      <c r="H664" s="9"/>
      <c r="I664" s="16" t="s">
        <v>1628</v>
      </c>
      <c r="J664" s="5"/>
    </row>
    <row r="665" ht="15.75" customHeight="1">
      <c r="A665" s="28">
        <v>45063.0</v>
      </c>
      <c r="B665" s="7" t="str">
        <f>HYPERLINK("https://www.rockefellerfoundation.org/","Rockefeller Foundation")</f>
        <v>Rockefeller Foundation</v>
      </c>
      <c r="C665" s="8" t="s">
        <v>16</v>
      </c>
      <c r="D665" s="22" t="s">
        <v>1629</v>
      </c>
      <c r="E665" s="18" t="s">
        <v>45</v>
      </c>
      <c r="F665" s="9" t="s">
        <v>301</v>
      </c>
      <c r="G665" s="9"/>
      <c r="H665" s="9"/>
      <c r="I665" s="27" t="s">
        <v>1630</v>
      </c>
      <c r="J665" s="5"/>
    </row>
    <row r="666" ht="15.75" customHeight="1">
      <c r="A666" s="6" t="s">
        <v>68</v>
      </c>
      <c r="B666" s="7" t="str">
        <f>HYPERLINK("https://www.okeeffemuseum.org/","Georgia O'Keeffe Museum")</f>
        <v>Georgia O'Keeffe Museum</v>
      </c>
      <c r="C666" s="8" t="s">
        <v>49</v>
      </c>
      <c r="D666" s="7" t="s">
        <v>299</v>
      </c>
      <c r="E666" s="18" t="s">
        <v>65</v>
      </c>
      <c r="F666" s="9" t="s">
        <v>1631</v>
      </c>
      <c r="G666" s="9"/>
      <c r="H666" s="9"/>
      <c r="I666" s="27" t="s">
        <v>1632</v>
      </c>
      <c r="J666" s="5"/>
    </row>
    <row r="667" ht="15.75" customHeight="1">
      <c r="A667" s="6" t="s">
        <v>68</v>
      </c>
      <c r="B667" s="7" t="str">
        <f>HYPERLINK("https://www.radcliffe.harvard.edu/","Radcliffe Institute for Advanced Study Harvard University")</f>
        <v>Radcliffe Institute for Advanced Study Harvard University</v>
      </c>
      <c r="C667" s="8" t="s">
        <v>10</v>
      </c>
      <c r="D667" s="13" t="s">
        <v>1633</v>
      </c>
      <c r="E667" s="18" t="s">
        <v>1257</v>
      </c>
      <c r="F667" s="9" t="s">
        <v>143</v>
      </c>
      <c r="G667" s="9"/>
      <c r="H667" s="23">
        <v>3000.0</v>
      </c>
      <c r="I667" s="73" t="s">
        <v>1634</v>
      </c>
      <c r="J667" s="5"/>
    </row>
    <row r="668" ht="15.75" customHeight="1">
      <c r="A668" s="28">
        <v>45306.0</v>
      </c>
      <c r="B668" s="7" t="str">
        <f>HYPERLINK("http://www.apa.org/apf/","American Psychological Association")</f>
        <v>American Psychological Association</v>
      </c>
      <c r="C668" s="8" t="s">
        <v>16</v>
      </c>
      <c r="D668" s="22" t="s">
        <v>1635</v>
      </c>
      <c r="E668" s="18" t="s">
        <v>194</v>
      </c>
      <c r="F668" s="9" t="s">
        <v>997</v>
      </c>
      <c r="G668" s="9"/>
      <c r="H668" s="86"/>
      <c r="I668" s="73" t="s">
        <v>1636</v>
      </c>
      <c r="J668" s="5"/>
    </row>
    <row r="669" ht="15.75" customHeight="1">
      <c r="A669" s="28">
        <v>44949.0</v>
      </c>
      <c r="B669" s="7" t="str">
        <f>HYPERLINK("https://www.virginiahistory.org/","Virginia Museum of History and Culture")</f>
        <v>Virginia Museum of History and Culture</v>
      </c>
      <c r="C669" s="8" t="s">
        <v>49</v>
      </c>
      <c r="D669" s="7" t="s">
        <v>1637</v>
      </c>
      <c r="E669" s="18" t="s">
        <v>1638</v>
      </c>
      <c r="F669" s="9" t="s">
        <v>34</v>
      </c>
      <c r="G669" s="15"/>
      <c r="H669" s="86" t="s">
        <v>170</v>
      </c>
      <c r="I669" s="73" t="s">
        <v>1639</v>
      </c>
      <c r="J669" s="5"/>
    </row>
    <row r="670" ht="15.75" customHeight="1">
      <c r="A670" s="28">
        <v>44635.0</v>
      </c>
      <c r="B670" s="13" t="s">
        <v>1640</v>
      </c>
      <c r="C670" s="14" t="s">
        <v>16</v>
      </c>
      <c r="D670" s="22" t="s">
        <v>1641</v>
      </c>
      <c r="E670" s="6" t="s">
        <v>474</v>
      </c>
      <c r="F670" s="50" t="s">
        <v>66</v>
      </c>
      <c r="G670" s="9"/>
      <c r="H670" s="100">
        <v>250.0</v>
      </c>
      <c r="I670" s="16" t="s">
        <v>1642</v>
      </c>
      <c r="J670" s="5"/>
    </row>
    <row r="671" ht="15.75" customHeight="1">
      <c r="A671" s="6" t="s">
        <v>68</v>
      </c>
      <c r="B671" s="13" t="s">
        <v>1643</v>
      </c>
      <c r="C671" s="14" t="s">
        <v>16</v>
      </c>
      <c r="D671" s="13" t="s">
        <v>1644</v>
      </c>
      <c r="E671" s="6" t="s">
        <v>128</v>
      </c>
      <c r="F671" s="50" t="s">
        <v>477</v>
      </c>
      <c r="G671" s="9"/>
      <c r="H671" s="75"/>
      <c r="I671" s="16" t="s">
        <v>1645</v>
      </c>
      <c r="J671" s="5"/>
    </row>
    <row r="672" ht="15.75" customHeight="1">
      <c r="A672" s="28">
        <v>44941.0</v>
      </c>
      <c r="B672" s="13" t="s">
        <v>1646</v>
      </c>
      <c r="C672" s="14" t="s">
        <v>10</v>
      </c>
      <c r="D672" s="13" t="s">
        <v>1239</v>
      </c>
      <c r="E672" s="6" t="s">
        <v>128</v>
      </c>
      <c r="F672" s="50" t="s">
        <v>66</v>
      </c>
      <c r="G672" s="9"/>
      <c r="H672" s="75" t="s">
        <v>1647</v>
      </c>
      <c r="I672" s="16" t="s">
        <v>1648</v>
      </c>
      <c r="J672" s="5"/>
    </row>
    <row r="673" ht="15.75" customHeight="1">
      <c r="A673" s="6" t="s">
        <v>68</v>
      </c>
      <c r="B673" s="56" t="s">
        <v>1649</v>
      </c>
      <c r="C673" s="14" t="s">
        <v>49</v>
      </c>
      <c r="D673" s="13" t="s">
        <v>1650</v>
      </c>
      <c r="E673" s="6" t="s">
        <v>128</v>
      </c>
      <c r="F673" s="50" t="s">
        <v>138</v>
      </c>
      <c r="G673" s="9"/>
      <c r="H673" s="50"/>
      <c r="I673" s="16" t="s">
        <v>1651</v>
      </c>
      <c r="J673" s="5"/>
    </row>
    <row r="674" ht="15.75" customHeight="1">
      <c r="A674" s="6" t="s">
        <v>68</v>
      </c>
      <c r="B674" s="56" t="s">
        <v>1274</v>
      </c>
      <c r="C674" s="14" t="s">
        <v>16</v>
      </c>
      <c r="D674" s="13" t="s">
        <v>1652</v>
      </c>
      <c r="E674" s="6" t="s">
        <v>45</v>
      </c>
      <c r="F674" s="50" t="s">
        <v>66</v>
      </c>
      <c r="G674" s="9"/>
      <c r="H674" s="50" t="s">
        <v>1653</v>
      </c>
      <c r="I674" s="16" t="s">
        <v>1654</v>
      </c>
      <c r="J674" s="5"/>
    </row>
    <row r="675" ht="15.75" customHeight="1">
      <c r="A675" s="128">
        <v>44900.0</v>
      </c>
      <c r="B675" s="45" t="str">
        <f>HYPERLINK("http://us-jf.org/","United States-Japan Foundation")</f>
        <v>United States-Japan Foundation</v>
      </c>
      <c r="C675" s="46" t="s">
        <v>16</v>
      </c>
      <c r="D675" s="45" t="str">
        <f>HYPERLINK("http://www.usjlp.org/apply","Leadership Program")</f>
        <v>Leadership Program</v>
      </c>
      <c r="E675" s="35" t="s">
        <v>45</v>
      </c>
      <c r="F675" s="35" t="s">
        <v>221</v>
      </c>
      <c r="G675" s="35"/>
      <c r="H675" s="36"/>
      <c r="I675" s="39" t="s">
        <v>1655</v>
      </c>
      <c r="J675" s="5"/>
    </row>
    <row r="676" ht="15.75" customHeight="1">
      <c r="A676" s="128">
        <v>45323.0</v>
      </c>
      <c r="B676" s="45" t="str">
        <f>HYPERLINK("http://web.fawc.org/","Fine Arts Work Center")</f>
        <v>Fine Arts Work Center</v>
      </c>
      <c r="C676" s="46" t="s">
        <v>16</v>
      </c>
      <c r="D676" s="45" t="str">
        <f>HYPERLINK("http://web.fawc.org/program","Fellowships")</f>
        <v>Fellowships</v>
      </c>
      <c r="E676" s="35" t="s">
        <v>233</v>
      </c>
      <c r="F676" s="36" t="s">
        <v>34</v>
      </c>
      <c r="G676" s="36"/>
      <c r="H676" s="36" t="s">
        <v>1656</v>
      </c>
      <c r="I676" s="39" t="s">
        <v>1657</v>
      </c>
      <c r="J676" s="5"/>
    </row>
    <row r="677" ht="15.75" customHeight="1">
      <c r="A677" s="28">
        <v>45016.0</v>
      </c>
      <c r="B677" s="7" t="str">
        <f>HYPERLINK("https://ircpl.columbia.edu/","Institute for Religion, Culture, and Public Life, Columbia Universtiy")</f>
        <v>Institute for Religion, Culture, and Public Life, Columbia Universtiy</v>
      </c>
      <c r="C677" s="8" t="s">
        <v>10</v>
      </c>
      <c r="D677" s="17" t="s">
        <v>1658</v>
      </c>
      <c r="E677" s="9" t="s">
        <v>394</v>
      </c>
      <c r="F677" s="9" t="s">
        <v>90</v>
      </c>
      <c r="G677" s="10"/>
      <c r="H677" s="6" t="s">
        <v>1659</v>
      </c>
      <c r="I677" s="11" t="s">
        <v>1660</v>
      </c>
      <c r="J677" s="5"/>
    </row>
    <row r="678" ht="15.75" customHeight="1">
      <c r="A678" s="18" t="s">
        <v>68</v>
      </c>
      <c r="B678" s="129" t="s">
        <v>1661</v>
      </c>
      <c r="C678" s="8" t="s">
        <v>16</v>
      </c>
      <c r="D678" s="22" t="s">
        <v>1662</v>
      </c>
      <c r="E678" s="18" t="s">
        <v>1663</v>
      </c>
      <c r="F678" s="9" t="s">
        <v>66</v>
      </c>
      <c r="G678" s="9"/>
      <c r="H678" s="23">
        <v>7500.0</v>
      </c>
      <c r="I678" s="16" t="s">
        <v>1664</v>
      </c>
      <c r="J678" s="5"/>
    </row>
    <row r="679" ht="15.75" customHeight="1">
      <c r="A679" s="29" t="s">
        <v>68</v>
      </c>
      <c r="B679" s="7" t="str">
        <f>HYPERLINK("https://www.kinshipfellows.org/","Kinship Conservation")</f>
        <v>Kinship Conservation</v>
      </c>
      <c r="C679" s="8" t="s">
        <v>16</v>
      </c>
      <c r="D679" s="22" t="s">
        <v>1665</v>
      </c>
      <c r="E679" s="18" t="s">
        <v>77</v>
      </c>
      <c r="F679" s="18" t="s">
        <v>34</v>
      </c>
      <c r="G679" s="18" t="s">
        <v>1666</v>
      </c>
      <c r="H679" s="9" t="s">
        <v>1667</v>
      </c>
      <c r="I679" s="27" t="s">
        <v>1668</v>
      </c>
      <c r="J679" s="5"/>
    </row>
    <row r="680" ht="15.75" customHeight="1">
      <c r="A680" s="18" t="s">
        <v>68</v>
      </c>
      <c r="B680" s="7" t="str">
        <f>HYPERLINK("http://www.apa.org/apf/","American Psychological Association")</f>
        <v>American Psychological Association</v>
      </c>
      <c r="C680" s="8" t="s">
        <v>16</v>
      </c>
      <c r="D680" s="7" t="s">
        <v>1669</v>
      </c>
      <c r="E680" s="18" t="s">
        <v>194</v>
      </c>
      <c r="F680" s="9" t="s">
        <v>110</v>
      </c>
      <c r="G680" s="9" t="s">
        <v>72</v>
      </c>
      <c r="H680" s="9"/>
      <c r="I680" s="27" t="s">
        <v>1670</v>
      </c>
      <c r="J680" s="5"/>
      <c r="K680" s="5"/>
      <c r="L680" s="5"/>
      <c r="M680" s="5"/>
      <c r="N680" s="5"/>
      <c r="O680" s="5"/>
      <c r="P680" s="5"/>
      <c r="Q680" s="5"/>
      <c r="R680" s="5"/>
      <c r="S680" s="5"/>
      <c r="T680" s="5"/>
      <c r="U680" s="5"/>
      <c r="V680" s="5"/>
      <c r="W680" s="5"/>
      <c r="X680" s="5"/>
      <c r="Y680" s="5"/>
      <c r="Z680" s="5"/>
    </row>
    <row r="681" ht="15.75" customHeight="1">
      <c r="A681" s="18" t="s">
        <v>68</v>
      </c>
      <c r="B681" s="7" t="str">
        <f>HYPERLINK("https://www.loc.gov/programs/john-w-kluge-center/about-this-program/","Kluge Center at the Library of Congress")</f>
        <v>Kluge Center at the Library of Congress</v>
      </c>
      <c r="C681" s="8" t="s">
        <v>41</v>
      </c>
      <c r="D681" s="7" t="str">
        <f>HYPERLINK("https://www.loc.gov/programs/john-w-kluge-center/chairs-fellowships/chairs/henry-a-kissinger-program/","Henry A. Kissinger Program in Foreign Policy and International Relations")</f>
        <v>Henry A. Kissinger Program in Foreign Policy and International Relations</v>
      </c>
      <c r="E681" s="18" t="s">
        <v>1671</v>
      </c>
      <c r="F681" s="9"/>
      <c r="G681" s="9"/>
      <c r="H681" s="23" t="s">
        <v>1672</v>
      </c>
      <c r="I681" s="27" t="s">
        <v>1673</v>
      </c>
      <c r="J681" s="5"/>
    </row>
    <row r="682" ht="15.75" customHeight="1">
      <c r="A682" s="6" t="s">
        <v>68</v>
      </c>
      <c r="B682" s="13" t="s">
        <v>1674</v>
      </c>
      <c r="C682" s="14" t="s">
        <v>41</v>
      </c>
      <c r="D682" s="13" t="s">
        <v>1675</v>
      </c>
      <c r="E682" s="6" t="s">
        <v>128</v>
      </c>
      <c r="F682" s="9"/>
      <c r="G682" s="9"/>
      <c r="H682" s="130"/>
      <c r="I682" s="99" t="s">
        <v>1676</v>
      </c>
      <c r="J682" s="5"/>
    </row>
    <row r="683" ht="15.75" customHeight="1">
      <c r="A683" s="6" t="s">
        <v>68</v>
      </c>
      <c r="B683" s="13" t="s">
        <v>1677</v>
      </c>
      <c r="C683" s="14" t="s">
        <v>16</v>
      </c>
      <c r="D683" s="13" t="s">
        <v>1678</v>
      </c>
      <c r="E683" s="6" t="s">
        <v>128</v>
      </c>
      <c r="F683" s="9"/>
      <c r="G683" s="9"/>
      <c r="H683" s="131" t="s">
        <v>1679</v>
      </c>
      <c r="I683" s="16" t="s">
        <v>1680</v>
      </c>
      <c r="J683" s="5"/>
    </row>
    <row r="684" ht="15.75" customHeight="1">
      <c r="A684" s="6" t="s">
        <v>68</v>
      </c>
      <c r="B684" s="13" t="s">
        <v>1681</v>
      </c>
      <c r="C684" s="14" t="s">
        <v>49</v>
      </c>
      <c r="D684" s="13" t="s">
        <v>1682</v>
      </c>
      <c r="E684" s="6" t="s">
        <v>655</v>
      </c>
      <c r="F684" s="50"/>
      <c r="G684" s="9"/>
      <c r="H684" s="94"/>
      <c r="I684" s="99" t="s">
        <v>1683</v>
      </c>
      <c r="J684" s="5"/>
    </row>
    <row r="685" ht="15.75" customHeight="1">
      <c r="A685" s="6" t="s">
        <v>1684</v>
      </c>
      <c r="B685" s="7" t="str">
        <f>HYPERLINK("https://www.nypl.org","New York Public Library")</f>
        <v>New York Public Library</v>
      </c>
      <c r="C685" s="8" t="s">
        <v>49</v>
      </c>
      <c r="D685" s="13" t="s">
        <v>1685</v>
      </c>
      <c r="E685" s="18" t="s">
        <v>128</v>
      </c>
      <c r="F685" s="9" t="s">
        <v>34</v>
      </c>
      <c r="G685" s="9"/>
      <c r="H685" s="86" t="s">
        <v>1686</v>
      </c>
      <c r="I685" s="73" t="s">
        <v>1687</v>
      </c>
      <c r="J685" s="5"/>
    </row>
    <row r="686" ht="15.75" customHeight="1">
      <c r="A686" s="6" t="s">
        <v>1688</v>
      </c>
      <c r="B686" s="13" t="s">
        <v>1689</v>
      </c>
      <c r="C686" s="14" t="s">
        <v>16</v>
      </c>
      <c r="D686" s="13" t="s">
        <v>1690</v>
      </c>
      <c r="E686" s="6" t="s">
        <v>128</v>
      </c>
      <c r="F686" s="50" t="s">
        <v>110</v>
      </c>
      <c r="G686" s="9"/>
      <c r="H686" s="94"/>
      <c r="I686" s="53" t="s">
        <v>1691</v>
      </c>
      <c r="J686" s="5"/>
    </row>
    <row r="687" ht="15.75" customHeight="1">
      <c r="A687" s="18" t="s">
        <v>1692</v>
      </c>
      <c r="B687" s="7" t="str">
        <f>HYPERLINK("http://www.asia-europe.uni-heidelberg.de/en/hcts.html","Heidelberg Center for Transcultural Studies")</f>
        <v>Heidelberg Center for Transcultural Studies</v>
      </c>
      <c r="C687" s="8" t="s">
        <v>10</v>
      </c>
      <c r="D687" s="24" t="s">
        <v>299</v>
      </c>
      <c r="E687" s="18" t="s">
        <v>462</v>
      </c>
      <c r="F687" s="9" t="s">
        <v>66</v>
      </c>
      <c r="G687" s="9"/>
      <c r="H687" s="23"/>
      <c r="I687" s="16" t="s">
        <v>1693</v>
      </c>
      <c r="J687" s="5"/>
    </row>
    <row r="688" ht="15.75" customHeight="1">
      <c r="A688" s="18" t="s">
        <v>1692</v>
      </c>
      <c r="B688" s="7" t="str">
        <f>HYPERLINK("https://www.banffcentre.ca/","Banff Center")</f>
        <v>Banff Center</v>
      </c>
      <c r="C688" s="8" t="s">
        <v>1527</v>
      </c>
      <c r="D688" s="7" t="str">
        <f>HYPERLINK("https://www.banffcentre.ca/","International Literary Translation Centre")</f>
        <v>International Literary Translation Centre</v>
      </c>
      <c r="E688" s="18" t="s">
        <v>1694</v>
      </c>
      <c r="F688" s="9" t="s">
        <v>66</v>
      </c>
      <c r="G688" s="9" t="s">
        <v>1695</v>
      </c>
      <c r="H688" s="23"/>
      <c r="I688" s="16" t="s">
        <v>1696</v>
      </c>
      <c r="J688" s="5"/>
    </row>
    <row r="689" ht="15.75" customHeight="1">
      <c r="A689" s="18" t="s">
        <v>1692</v>
      </c>
      <c r="B689" s="24" t="s">
        <v>1697</v>
      </c>
      <c r="C689" s="8" t="s">
        <v>10</v>
      </c>
      <c r="D689" s="7" t="str">
        <f>HYPERLINK("https://georgianpapersprogramme.com/fellowships/kings-college-london/","Royal Archives Fellowships")</f>
        <v>Royal Archives Fellowships</v>
      </c>
      <c r="E689" s="18" t="s">
        <v>128</v>
      </c>
      <c r="F689" s="9" t="s">
        <v>46</v>
      </c>
      <c r="G689" s="9"/>
      <c r="H689" s="23"/>
      <c r="I689" s="27" t="s">
        <v>1698</v>
      </c>
      <c r="J689" s="5"/>
    </row>
    <row r="690" ht="15.75" customHeight="1">
      <c r="A690" s="6" t="s">
        <v>1699</v>
      </c>
      <c r="B690" s="132" t="s">
        <v>1700</v>
      </c>
      <c r="C690" s="14" t="s">
        <v>16</v>
      </c>
      <c r="D690" s="13" t="s">
        <v>1701</v>
      </c>
      <c r="E690" s="6" t="s">
        <v>128</v>
      </c>
      <c r="F690" s="50" t="s">
        <v>138</v>
      </c>
      <c r="G690" s="9"/>
      <c r="H690" s="9"/>
      <c r="I690" s="133" t="s">
        <v>1702</v>
      </c>
      <c r="J690" s="5"/>
    </row>
    <row r="691" ht="15.75" customHeight="1">
      <c r="A691" s="6" t="s">
        <v>1692</v>
      </c>
      <c r="B691" s="13" t="s">
        <v>1703</v>
      </c>
      <c r="C691" s="14" t="s">
        <v>49</v>
      </c>
      <c r="D691" s="13" t="s">
        <v>1704</v>
      </c>
      <c r="E691" s="6" t="s">
        <v>128</v>
      </c>
      <c r="F691" s="50" t="s">
        <v>46</v>
      </c>
      <c r="G691" s="9"/>
      <c r="H691" s="9"/>
      <c r="I691" s="133" t="s">
        <v>1705</v>
      </c>
      <c r="J691" s="5"/>
    </row>
    <row r="692" ht="15.75" customHeight="1">
      <c r="A692" s="6" t="s">
        <v>1692</v>
      </c>
      <c r="B692" s="13" t="s">
        <v>1706</v>
      </c>
      <c r="C692" s="14" t="s">
        <v>16</v>
      </c>
      <c r="D692" s="13" t="s">
        <v>1707</v>
      </c>
      <c r="E692" s="6" t="s">
        <v>394</v>
      </c>
      <c r="F692" s="50" t="s">
        <v>138</v>
      </c>
      <c r="G692" s="9"/>
      <c r="H692" s="9"/>
      <c r="I692" s="99" t="s">
        <v>1708</v>
      </c>
      <c r="J692" s="5"/>
    </row>
    <row r="693" ht="15.75" customHeight="1">
      <c r="A693" s="29" t="s">
        <v>1709</v>
      </c>
      <c r="B693" s="7" t="str">
        <f>HYPERLINK("https://www.sciencehistory.org/","Science History Institute")</f>
        <v>Science History Institute</v>
      </c>
      <c r="C693" s="8" t="s">
        <v>16</v>
      </c>
      <c r="D693" s="7" t="str">
        <f>HYPERLINK("https://www.sciencehistory.org/fellowships/apply-for-a-fellowship","Library Travel Grants")</f>
        <v>Library Travel Grants</v>
      </c>
      <c r="E693" s="18" t="s">
        <v>77</v>
      </c>
      <c r="F693" s="9" t="s">
        <v>997</v>
      </c>
      <c r="G693" s="9"/>
      <c r="H693" s="9"/>
      <c r="I693" s="133" t="s">
        <v>1710</v>
      </c>
      <c r="J693" s="5"/>
    </row>
    <row r="694" ht="15.75" customHeight="1">
      <c r="A694" s="6" t="s">
        <v>1711</v>
      </c>
      <c r="B694" s="7" t="str">
        <f>HYPERLINK("http://wtgrantfoundation.org","William T Grant Foundation")</f>
        <v>William T Grant Foundation</v>
      </c>
      <c r="C694" s="8" t="s">
        <v>16</v>
      </c>
      <c r="D694" s="7" t="s">
        <v>1712</v>
      </c>
      <c r="E694" s="18" t="s">
        <v>45</v>
      </c>
      <c r="F694" s="18" t="s">
        <v>66</v>
      </c>
      <c r="G694" s="18"/>
      <c r="H694" s="9"/>
      <c r="I694" s="133" t="s">
        <v>1713</v>
      </c>
      <c r="J694" s="5"/>
    </row>
    <row r="695" ht="15.75" customHeight="1">
      <c r="A695" s="6" t="s">
        <v>1711</v>
      </c>
      <c r="B695" s="7" t="str">
        <f>HYPERLINK("https://www.ias.edu/","Institute for Advanced Study (IAS), School of Social Science")</f>
        <v>Institute for Advanced Study (IAS), School of Social Science</v>
      </c>
      <c r="C695" s="8" t="s">
        <v>10</v>
      </c>
      <c r="D695" s="13" t="s">
        <v>1218</v>
      </c>
      <c r="E695" s="18" t="s">
        <v>43</v>
      </c>
      <c r="F695" s="9" t="s">
        <v>477</v>
      </c>
      <c r="G695" s="9"/>
      <c r="H695" s="109"/>
      <c r="I695" s="133" t="s">
        <v>1714</v>
      </c>
      <c r="J695" s="5"/>
    </row>
    <row r="696" ht="15.75" customHeight="1">
      <c r="A696" s="18" t="s">
        <v>1715</v>
      </c>
      <c r="B696" s="7" t="str">
        <f>HYPERLINK("https://www.sas.ac.uk/","Univeristy of London, School of Advanced Study")</f>
        <v>Univeristy of London, School of Advanced Study</v>
      </c>
      <c r="C696" s="8" t="s">
        <v>10</v>
      </c>
      <c r="D696" s="7" t="str">
        <f>HYPERLINK("https://www.sas.ac.uk/support-research/fellowships","Institute/Consortium Fellowships")</f>
        <v>Institute/Consortium Fellowships</v>
      </c>
      <c r="E696" s="18" t="s">
        <v>128</v>
      </c>
      <c r="F696" s="9" t="s">
        <v>87</v>
      </c>
      <c r="G696" s="9"/>
      <c r="H696" s="23"/>
      <c r="I696" s="27" t="s">
        <v>1716</v>
      </c>
      <c r="J696" s="5"/>
    </row>
    <row r="697" ht="15.75" customHeight="1">
      <c r="A697" s="6" t="s">
        <v>1715</v>
      </c>
      <c r="B697" s="13" t="s">
        <v>1717</v>
      </c>
      <c r="C697" s="14" t="s">
        <v>16</v>
      </c>
      <c r="D697" s="13" t="s">
        <v>1718</v>
      </c>
      <c r="E697" s="6" t="s">
        <v>128</v>
      </c>
      <c r="F697" s="50" t="s">
        <v>46</v>
      </c>
      <c r="G697" s="9"/>
      <c r="H697" s="23"/>
      <c r="I697" s="134" t="s">
        <v>1719</v>
      </c>
    </row>
    <row r="698" ht="15.75" customHeight="1">
      <c r="A698" s="135" t="s">
        <v>1715</v>
      </c>
      <c r="B698" s="136" t="s">
        <v>1720</v>
      </c>
      <c r="C698" s="135" t="s">
        <v>41</v>
      </c>
      <c r="D698" s="137" t="s">
        <v>1721</v>
      </c>
      <c r="E698" s="138" t="s">
        <v>128</v>
      </c>
      <c r="F698" s="135" t="s">
        <v>1722</v>
      </c>
      <c r="H698" s="139"/>
      <c r="I698" s="140" t="s">
        <v>1723</v>
      </c>
    </row>
    <row r="699" ht="15.75" customHeight="1">
      <c r="A699" s="135" t="s">
        <v>1715</v>
      </c>
      <c r="B699" s="136" t="s">
        <v>1720</v>
      </c>
      <c r="C699" s="135" t="s">
        <v>41</v>
      </c>
      <c r="D699" s="137" t="s">
        <v>1724</v>
      </c>
      <c r="E699" s="138" t="s">
        <v>128</v>
      </c>
      <c r="H699" s="139"/>
      <c r="I699" s="140" t="s">
        <v>1725</v>
      </c>
    </row>
    <row r="700" ht="15.75" customHeight="1">
      <c r="A700" s="135" t="s">
        <v>1715</v>
      </c>
      <c r="B700" s="136" t="s">
        <v>1720</v>
      </c>
      <c r="C700" s="135" t="s">
        <v>41</v>
      </c>
      <c r="D700" s="137" t="s">
        <v>1726</v>
      </c>
      <c r="E700" s="138" t="s">
        <v>128</v>
      </c>
      <c r="H700" s="139"/>
      <c r="I700" s="140" t="s">
        <v>1727</v>
      </c>
    </row>
    <row r="701" ht="15.75" customHeight="1">
      <c r="A701" s="135" t="s">
        <v>1715</v>
      </c>
      <c r="B701" s="136" t="s">
        <v>1728</v>
      </c>
      <c r="C701" s="135" t="s">
        <v>16</v>
      </c>
      <c r="D701" s="137" t="s">
        <v>1729</v>
      </c>
      <c r="E701" s="138" t="s">
        <v>655</v>
      </c>
      <c r="F701" s="135" t="s">
        <v>138</v>
      </c>
      <c r="H701" s="139"/>
      <c r="I701" s="140" t="s">
        <v>1730</v>
      </c>
    </row>
    <row r="702" ht="15.75" customHeight="1">
      <c r="A702" s="141">
        <v>44476.0</v>
      </c>
      <c r="B702" s="40" t="s">
        <v>1259</v>
      </c>
      <c r="C702" s="135" t="s">
        <v>49</v>
      </c>
      <c r="D702" s="137" t="s">
        <v>1731</v>
      </c>
      <c r="E702" s="138" t="s">
        <v>419</v>
      </c>
      <c r="F702" s="135" t="s">
        <v>138</v>
      </c>
      <c r="G702" s="135" t="s">
        <v>1732</v>
      </c>
      <c r="H702" s="142" t="s">
        <v>1733</v>
      </c>
      <c r="I702" s="140" t="s">
        <v>1734</v>
      </c>
    </row>
    <row r="703" ht="15.75" customHeight="1">
      <c r="B703" s="40" t="s">
        <v>1259</v>
      </c>
      <c r="C703" s="135" t="s">
        <v>1735</v>
      </c>
      <c r="D703" s="143" t="s">
        <v>1736</v>
      </c>
      <c r="E703" s="138" t="s">
        <v>419</v>
      </c>
      <c r="F703" s="135" t="s">
        <v>138</v>
      </c>
      <c r="G703" s="135" t="s">
        <v>1732</v>
      </c>
      <c r="H703" s="139"/>
      <c r="I703" s="140" t="s">
        <v>1737</v>
      </c>
    </row>
    <row r="704" ht="15.75" customHeight="1">
      <c r="B704" s="144"/>
      <c r="C704" s="135" t="s">
        <v>16</v>
      </c>
      <c r="D704" s="145" t="s">
        <v>1738</v>
      </c>
      <c r="E704" s="138" t="s">
        <v>128</v>
      </c>
      <c r="F704" s="135" t="s">
        <v>138</v>
      </c>
      <c r="G704" s="135" t="s">
        <v>1732</v>
      </c>
      <c r="H704" s="146">
        <v>15000.0</v>
      </c>
      <c r="I704" s="140" t="s">
        <v>1739</v>
      </c>
    </row>
    <row r="705" ht="15.75" customHeight="1">
      <c r="B705" s="5"/>
      <c r="E705" s="147"/>
      <c r="H705" s="139"/>
      <c r="I705" s="148"/>
    </row>
    <row r="706" ht="15.75" customHeight="1">
      <c r="B706" s="5"/>
      <c r="E706" s="147"/>
      <c r="H706" s="139"/>
      <c r="I706" s="148"/>
    </row>
    <row r="707" ht="15.75" customHeight="1">
      <c r="B707" s="5"/>
      <c r="E707" s="147"/>
      <c r="H707" s="139"/>
      <c r="I707" s="148"/>
    </row>
    <row r="708" ht="15.75" customHeight="1">
      <c r="B708" s="5"/>
      <c r="E708" s="147"/>
      <c r="H708" s="139"/>
      <c r="I708" s="148"/>
    </row>
    <row r="709" ht="15.75" customHeight="1">
      <c r="B709" s="5"/>
      <c r="E709" s="147"/>
      <c r="H709" s="139"/>
      <c r="I709" s="148"/>
    </row>
    <row r="710" ht="15.75" customHeight="1">
      <c r="B710" s="5"/>
      <c r="E710" s="147"/>
      <c r="H710" s="139"/>
      <c r="I710" s="148"/>
    </row>
    <row r="711" ht="15.75" customHeight="1">
      <c r="B711" s="5"/>
      <c r="E711" s="147"/>
      <c r="H711" s="139"/>
      <c r="I711" s="148"/>
    </row>
    <row r="712" ht="15.75" customHeight="1">
      <c r="B712" s="5"/>
      <c r="E712" s="147"/>
      <c r="H712" s="139"/>
      <c r="I712" s="148"/>
    </row>
    <row r="713" ht="15.75" customHeight="1">
      <c r="B713" s="5"/>
      <c r="E713" s="147"/>
      <c r="H713" s="139"/>
      <c r="I713" s="148"/>
    </row>
    <row r="714" ht="15.75" customHeight="1">
      <c r="B714" s="5"/>
      <c r="E714" s="147"/>
      <c r="H714" s="139"/>
      <c r="I714" s="148"/>
    </row>
    <row r="715" ht="15.75" customHeight="1">
      <c r="B715" s="5"/>
      <c r="E715" s="147"/>
      <c r="H715" s="139"/>
      <c r="I715" s="148"/>
    </row>
    <row r="716" ht="15.75" customHeight="1">
      <c r="B716" s="5"/>
      <c r="E716" s="147"/>
      <c r="H716" s="139"/>
      <c r="I716" s="148"/>
    </row>
    <row r="717" ht="15.75" customHeight="1">
      <c r="B717" s="5"/>
      <c r="E717" s="147"/>
      <c r="H717" s="139"/>
      <c r="I717" s="148"/>
    </row>
    <row r="718" ht="15.75" customHeight="1">
      <c r="B718" s="5"/>
      <c r="E718" s="147"/>
      <c r="H718" s="139"/>
      <c r="I718" s="148"/>
    </row>
    <row r="719" ht="15.75" customHeight="1">
      <c r="B719" s="5"/>
      <c r="E719" s="147"/>
      <c r="H719" s="139"/>
      <c r="I719" s="148"/>
    </row>
    <row r="720" ht="15.75" customHeight="1">
      <c r="B720" s="5"/>
      <c r="E720" s="147"/>
      <c r="H720" s="139"/>
      <c r="I720" s="148"/>
    </row>
    <row r="721" ht="15.75" customHeight="1">
      <c r="B721" s="5"/>
      <c r="E721" s="147"/>
      <c r="H721" s="139"/>
      <c r="I721" s="148"/>
    </row>
    <row r="722" ht="15.75" customHeight="1">
      <c r="B722" s="5"/>
      <c r="E722" s="147"/>
      <c r="H722" s="139"/>
      <c r="I722" s="148"/>
    </row>
    <row r="723" ht="15.75" customHeight="1">
      <c r="B723" s="5"/>
      <c r="E723" s="147"/>
      <c r="H723" s="139"/>
      <c r="I723" s="148"/>
    </row>
    <row r="724" ht="15.75" customHeight="1">
      <c r="B724" s="5"/>
      <c r="E724" s="147"/>
      <c r="H724" s="139"/>
      <c r="I724" s="148"/>
    </row>
    <row r="725" ht="15.75" customHeight="1">
      <c r="B725" s="5"/>
      <c r="E725" s="147"/>
      <c r="H725" s="139"/>
      <c r="I725" s="148"/>
    </row>
    <row r="726" ht="15.75" customHeight="1">
      <c r="B726" s="5"/>
      <c r="E726" s="147"/>
      <c r="H726" s="139"/>
      <c r="I726" s="148"/>
    </row>
    <row r="727" ht="15.75" customHeight="1">
      <c r="B727" s="5"/>
      <c r="E727" s="147"/>
      <c r="H727" s="139"/>
      <c r="I727" s="148"/>
    </row>
    <row r="728" ht="15.75" customHeight="1">
      <c r="B728" s="5"/>
      <c r="E728" s="147"/>
      <c r="H728" s="139"/>
      <c r="I728" s="148"/>
    </row>
    <row r="729" ht="15.75" customHeight="1">
      <c r="B729" s="5"/>
      <c r="E729" s="147"/>
      <c r="H729" s="139"/>
      <c r="I729" s="148"/>
    </row>
    <row r="730" ht="15.75" customHeight="1">
      <c r="B730" s="5"/>
      <c r="E730" s="147"/>
      <c r="H730" s="139"/>
      <c r="I730" s="148"/>
    </row>
    <row r="731" ht="15.75" customHeight="1">
      <c r="B731" s="5"/>
      <c r="E731" s="147"/>
      <c r="H731" s="139"/>
      <c r="I731" s="148"/>
    </row>
    <row r="732" ht="15.75" customHeight="1">
      <c r="B732" s="5"/>
      <c r="E732" s="147"/>
      <c r="H732" s="139"/>
      <c r="I732" s="148"/>
    </row>
    <row r="733" ht="15.75" customHeight="1">
      <c r="B733" s="5"/>
      <c r="E733" s="147"/>
      <c r="H733" s="139"/>
      <c r="I733" s="148"/>
    </row>
    <row r="734" ht="15.75" customHeight="1">
      <c r="B734" s="5"/>
      <c r="E734" s="147"/>
      <c r="H734" s="139"/>
      <c r="I734" s="148"/>
    </row>
    <row r="735" ht="15.75" customHeight="1">
      <c r="B735" s="5"/>
      <c r="E735" s="147"/>
      <c r="H735" s="139"/>
      <c r="I735" s="148"/>
    </row>
    <row r="736" ht="15.75" customHeight="1">
      <c r="B736" s="5"/>
      <c r="E736" s="147"/>
      <c r="H736" s="139"/>
      <c r="I736" s="148"/>
    </row>
    <row r="737" ht="15.75" customHeight="1">
      <c r="B737" s="5"/>
      <c r="E737" s="147"/>
      <c r="H737" s="139"/>
      <c r="I737" s="148"/>
    </row>
    <row r="738" ht="15.75" customHeight="1">
      <c r="B738" s="5"/>
      <c r="E738" s="147"/>
      <c r="H738" s="139"/>
      <c r="I738" s="148"/>
    </row>
    <row r="739" ht="15.75" customHeight="1">
      <c r="B739" s="5"/>
      <c r="E739" s="147"/>
      <c r="H739" s="139"/>
      <c r="I739" s="148"/>
    </row>
    <row r="740" ht="15.75" customHeight="1">
      <c r="B740" s="5"/>
      <c r="E740" s="147"/>
      <c r="H740" s="139"/>
      <c r="I740" s="148"/>
    </row>
    <row r="741" ht="15.75" customHeight="1">
      <c r="B741" s="5"/>
      <c r="E741" s="147"/>
      <c r="H741" s="139"/>
      <c r="I741" s="148"/>
    </row>
    <row r="742" ht="15.75" customHeight="1">
      <c r="B742" s="5"/>
      <c r="E742" s="147"/>
      <c r="H742" s="139"/>
      <c r="I742" s="148"/>
    </row>
    <row r="743" ht="15.75" customHeight="1">
      <c r="B743" s="5"/>
      <c r="E743" s="147"/>
      <c r="H743" s="139"/>
      <c r="I743" s="148"/>
    </row>
    <row r="744" ht="15.75" customHeight="1">
      <c r="B744" s="5"/>
      <c r="E744" s="147"/>
      <c r="H744" s="139"/>
      <c r="I744" s="148"/>
    </row>
    <row r="745" ht="15.75" customHeight="1">
      <c r="B745" s="5"/>
      <c r="E745" s="147"/>
      <c r="H745" s="139"/>
      <c r="I745" s="148"/>
    </row>
    <row r="746" ht="15.75" customHeight="1">
      <c r="B746" s="5"/>
      <c r="E746" s="147"/>
      <c r="H746" s="139"/>
      <c r="I746" s="148"/>
    </row>
    <row r="747" ht="15.75" customHeight="1">
      <c r="B747" s="5"/>
      <c r="E747" s="147"/>
      <c r="H747" s="139"/>
      <c r="I747" s="148"/>
    </row>
    <row r="748" ht="15.75" customHeight="1">
      <c r="B748" s="5"/>
      <c r="E748" s="147"/>
      <c r="H748" s="139"/>
      <c r="I748" s="148"/>
    </row>
    <row r="749" ht="15.75" customHeight="1">
      <c r="B749" s="5"/>
      <c r="E749" s="147"/>
      <c r="H749" s="139"/>
      <c r="I749" s="148"/>
    </row>
    <row r="750" ht="15.75" customHeight="1">
      <c r="B750" s="5"/>
      <c r="E750" s="147"/>
      <c r="H750" s="139"/>
      <c r="I750" s="148"/>
    </row>
    <row r="751" ht="15.75" customHeight="1">
      <c r="B751" s="5"/>
      <c r="E751" s="147"/>
      <c r="H751" s="139"/>
      <c r="I751" s="148"/>
    </row>
    <row r="752" ht="15.75" customHeight="1">
      <c r="B752" s="5"/>
      <c r="E752" s="147"/>
      <c r="H752" s="139"/>
      <c r="I752" s="148"/>
    </row>
    <row r="753" ht="15.75" customHeight="1">
      <c r="B753" s="5"/>
      <c r="E753" s="147"/>
      <c r="H753" s="139"/>
      <c r="I753" s="148"/>
    </row>
    <row r="754" ht="15.75" customHeight="1">
      <c r="B754" s="5"/>
      <c r="E754" s="147"/>
      <c r="H754" s="139"/>
      <c r="I754" s="148"/>
    </row>
    <row r="755" ht="15.75" customHeight="1">
      <c r="B755" s="5"/>
      <c r="E755" s="147"/>
      <c r="H755" s="139"/>
      <c r="I755" s="148"/>
    </row>
    <row r="756" ht="15.75" customHeight="1">
      <c r="B756" s="5"/>
      <c r="E756" s="147"/>
      <c r="H756" s="139"/>
      <c r="I756" s="148"/>
    </row>
    <row r="757" ht="15.75" customHeight="1">
      <c r="B757" s="5"/>
      <c r="E757" s="147"/>
      <c r="H757" s="139"/>
      <c r="I757" s="148"/>
    </row>
    <row r="758" ht="15.75" customHeight="1">
      <c r="B758" s="5"/>
      <c r="E758" s="147"/>
      <c r="H758" s="139"/>
      <c r="I758" s="148"/>
    </row>
    <row r="759" ht="15.75" customHeight="1">
      <c r="B759" s="5"/>
      <c r="E759" s="147"/>
      <c r="H759" s="139"/>
      <c r="I759" s="148"/>
    </row>
    <row r="760" ht="15.75" customHeight="1">
      <c r="B760" s="5"/>
      <c r="E760" s="147"/>
      <c r="H760" s="139"/>
      <c r="I760" s="148"/>
    </row>
    <row r="761" ht="15.75" customHeight="1">
      <c r="B761" s="5"/>
      <c r="E761" s="147"/>
      <c r="H761" s="139"/>
      <c r="I761" s="148"/>
    </row>
    <row r="762" ht="15.75" customHeight="1">
      <c r="B762" s="5"/>
      <c r="E762" s="147"/>
      <c r="H762" s="139"/>
      <c r="I762" s="148"/>
    </row>
    <row r="763" ht="15.75" customHeight="1">
      <c r="B763" s="5"/>
      <c r="E763" s="147"/>
      <c r="H763" s="139"/>
      <c r="I763" s="148"/>
    </row>
    <row r="764" ht="15.75" customHeight="1">
      <c r="B764" s="5"/>
      <c r="E764" s="147"/>
      <c r="H764" s="139"/>
      <c r="I764" s="148"/>
    </row>
    <row r="765" ht="15.75" customHeight="1">
      <c r="B765" s="5"/>
      <c r="E765" s="147"/>
      <c r="H765" s="139"/>
      <c r="I765" s="148"/>
    </row>
    <row r="766" ht="15.75" customHeight="1">
      <c r="B766" s="5"/>
      <c r="E766" s="147"/>
      <c r="H766" s="139"/>
      <c r="I766" s="148"/>
    </row>
    <row r="767" ht="15.75" customHeight="1">
      <c r="B767" s="5"/>
      <c r="E767" s="147"/>
      <c r="H767" s="139"/>
      <c r="I767" s="148"/>
    </row>
    <row r="768" ht="15.75" customHeight="1">
      <c r="B768" s="5"/>
      <c r="E768" s="147"/>
      <c r="H768" s="139"/>
      <c r="I768" s="148"/>
    </row>
    <row r="769" ht="15.75" customHeight="1">
      <c r="B769" s="5"/>
      <c r="E769" s="147"/>
      <c r="H769" s="139"/>
      <c r="I769" s="148"/>
    </row>
    <row r="770" ht="15.75" customHeight="1">
      <c r="B770" s="5"/>
      <c r="E770" s="147"/>
      <c r="H770" s="139"/>
      <c r="I770" s="148"/>
    </row>
    <row r="771" ht="15.75" customHeight="1">
      <c r="B771" s="5"/>
      <c r="E771" s="147"/>
      <c r="H771" s="139"/>
      <c r="I771" s="148"/>
    </row>
    <row r="772" ht="15.75" customHeight="1">
      <c r="B772" s="5"/>
      <c r="E772" s="147"/>
      <c r="H772" s="139"/>
      <c r="I772" s="148"/>
    </row>
    <row r="773" ht="15.75" customHeight="1">
      <c r="B773" s="5"/>
      <c r="E773" s="147"/>
      <c r="H773" s="139"/>
      <c r="I773" s="148"/>
    </row>
    <row r="774" ht="15.75" customHeight="1">
      <c r="B774" s="5"/>
      <c r="E774" s="147"/>
      <c r="H774" s="139"/>
      <c r="I774" s="148"/>
    </row>
    <row r="775" ht="15.75" customHeight="1">
      <c r="B775" s="5"/>
      <c r="E775" s="147"/>
      <c r="H775" s="139"/>
      <c r="I775" s="148"/>
    </row>
    <row r="776" ht="15.75" customHeight="1">
      <c r="B776" s="5"/>
      <c r="E776" s="147"/>
      <c r="H776" s="139"/>
      <c r="I776" s="148"/>
    </row>
    <row r="777" ht="15.75" customHeight="1">
      <c r="B777" s="5"/>
      <c r="E777" s="147"/>
      <c r="H777" s="139"/>
      <c r="I777" s="148"/>
    </row>
    <row r="778" ht="15.75" customHeight="1">
      <c r="B778" s="5"/>
      <c r="E778" s="147"/>
      <c r="H778" s="139"/>
      <c r="I778" s="148"/>
    </row>
    <row r="779" ht="15.75" customHeight="1">
      <c r="B779" s="5"/>
      <c r="E779" s="147"/>
      <c r="H779" s="139"/>
      <c r="I779" s="148"/>
    </row>
    <row r="780" ht="15.75" customHeight="1">
      <c r="B780" s="5"/>
      <c r="E780" s="147"/>
      <c r="H780" s="139"/>
      <c r="I780" s="148"/>
    </row>
    <row r="781" ht="15.75" customHeight="1">
      <c r="B781" s="5"/>
      <c r="E781" s="147"/>
      <c r="H781" s="139"/>
      <c r="I781" s="148"/>
    </row>
    <row r="782" ht="15.75" customHeight="1">
      <c r="B782" s="5"/>
      <c r="E782" s="147"/>
      <c r="H782" s="139"/>
      <c r="I782" s="148"/>
    </row>
    <row r="783" ht="15.75" customHeight="1">
      <c r="B783" s="5"/>
      <c r="E783" s="147"/>
      <c r="H783" s="139"/>
      <c r="I783" s="148"/>
    </row>
    <row r="784" ht="15.75" customHeight="1">
      <c r="B784" s="5"/>
      <c r="E784" s="147"/>
      <c r="H784" s="139"/>
      <c r="I784" s="148"/>
    </row>
    <row r="785" ht="15.75" customHeight="1">
      <c r="B785" s="5"/>
      <c r="E785" s="147"/>
      <c r="H785" s="139"/>
      <c r="I785" s="148"/>
    </row>
    <row r="786" ht="15.75" customHeight="1">
      <c r="B786" s="5"/>
      <c r="E786" s="147"/>
      <c r="H786" s="139"/>
      <c r="I786" s="148"/>
    </row>
    <row r="787" ht="15.75" customHeight="1">
      <c r="B787" s="5"/>
      <c r="E787" s="147"/>
      <c r="H787" s="139"/>
      <c r="I787" s="148"/>
    </row>
    <row r="788" ht="15.75" customHeight="1">
      <c r="B788" s="5"/>
      <c r="E788" s="147"/>
      <c r="H788" s="139"/>
      <c r="I788" s="148"/>
    </row>
    <row r="789" ht="15.75" customHeight="1">
      <c r="B789" s="5"/>
      <c r="E789" s="147"/>
      <c r="H789" s="139"/>
      <c r="I789" s="148"/>
    </row>
    <row r="790" ht="15.75" customHeight="1">
      <c r="B790" s="5"/>
      <c r="E790" s="147"/>
      <c r="H790" s="139"/>
      <c r="I790" s="148"/>
    </row>
    <row r="791" ht="15.75" customHeight="1">
      <c r="B791" s="5"/>
      <c r="E791" s="147"/>
      <c r="H791" s="139"/>
      <c r="I791" s="148"/>
    </row>
    <row r="792" ht="15.75" customHeight="1">
      <c r="B792" s="5"/>
      <c r="E792" s="147"/>
      <c r="H792" s="139"/>
      <c r="I792" s="148"/>
    </row>
    <row r="793" ht="15.75" customHeight="1">
      <c r="B793" s="5"/>
      <c r="E793" s="147"/>
      <c r="H793" s="139"/>
      <c r="I793" s="148"/>
    </row>
    <row r="794" ht="15.75" customHeight="1">
      <c r="B794" s="5"/>
      <c r="E794" s="147"/>
      <c r="H794" s="139"/>
      <c r="I794" s="148"/>
    </row>
    <row r="795" ht="15.75" customHeight="1">
      <c r="B795" s="5"/>
      <c r="E795" s="147"/>
      <c r="H795" s="139"/>
      <c r="I795" s="148"/>
    </row>
    <row r="796" ht="15.75" customHeight="1">
      <c r="B796" s="5"/>
      <c r="E796" s="147"/>
      <c r="H796" s="139"/>
      <c r="I796" s="148"/>
    </row>
    <row r="797" ht="15.75" customHeight="1">
      <c r="B797" s="5"/>
      <c r="E797" s="147"/>
      <c r="H797" s="139"/>
      <c r="I797" s="148"/>
    </row>
    <row r="798" ht="15.75" customHeight="1">
      <c r="B798" s="5"/>
      <c r="E798" s="147"/>
      <c r="H798" s="139"/>
      <c r="I798" s="148"/>
    </row>
    <row r="799" ht="15.75" customHeight="1">
      <c r="B799" s="5"/>
      <c r="E799" s="147"/>
      <c r="H799" s="139"/>
      <c r="I799" s="148"/>
    </row>
    <row r="800" ht="15.75" customHeight="1">
      <c r="B800" s="5"/>
      <c r="E800" s="147"/>
      <c r="H800" s="139"/>
      <c r="I800" s="148"/>
    </row>
    <row r="801" ht="15.75" customHeight="1">
      <c r="B801" s="5"/>
      <c r="E801" s="147"/>
      <c r="H801" s="139"/>
      <c r="I801" s="148"/>
    </row>
    <row r="802" ht="15.75" customHeight="1">
      <c r="B802" s="5"/>
      <c r="E802" s="147"/>
      <c r="H802" s="139"/>
      <c r="I802" s="148"/>
    </row>
    <row r="803" ht="15.75" customHeight="1">
      <c r="B803" s="5"/>
      <c r="E803" s="147"/>
      <c r="H803" s="139"/>
      <c r="I803" s="148"/>
    </row>
    <row r="804" ht="15.75" customHeight="1">
      <c r="B804" s="5"/>
      <c r="E804" s="147"/>
      <c r="H804" s="139"/>
      <c r="I804" s="148"/>
    </row>
    <row r="805" ht="15.75" customHeight="1">
      <c r="B805" s="5"/>
      <c r="E805" s="147"/>
      <c r="H805" s="139"/>
      <c r="I805" s="148"/>
    </row>
    <row r="806" ht="15.75" customHeight="1">
      <c r="B806" s="5"/>
      <c r="E806" s="147"/>
      <c r="H806" s="139"/>
      <c r="I806" s="148"/>
    </row>
    <row r="807" ht="15.75" customHeight="1">
      <c r="B807" s="5"/>
      <c r="E807" s="147"/>
      <c r="H807" s="139"/>
      <c r="I807" s="148"/>
    </row>
    <row r="808" ht="15.75" customHeight="1">
      <c r="B808" s="5"/>
      <c r="E808" s="147"/>
      <c r="H808" s="139"/>
      <c r="I808" s="148"/>
    </row>
    <row r="809" ht="15.75" customHeight="1">
      <c r="B809" s="5"/>
      <c r="E809" s="147"/>
      <c r="H809" s="139"/>
      <c r="I809" s="148"/>
    </row>
    <row r="810" ht="15.75" customHeight="1">
      <c r="B810" s="5"/>
      <c r="E810" s="147"/>
      <c r="H810" s="139"/>
      <c r="I810" s="148"/>
    </row>
    <row r="811" ht="15.75" customHeight="1">
      <c r="B811" s="5"/>
      <c r="E811" s="147"/>
      <c r="H811" s="139"/>
      <c r="I811" s="148"/>
    </row>
    <row r="812" ht="15.75" customHeight="1">
      <c r="B812" s="5"/>
      <c r="E812" s="147"/>
      <c r="H812" s="139"/>
      <c r="I812" s="148"/>
    </row>
    <row r="813" ht="15.75" customHeight="1">
      <c r="B813" s="5"/>
      <c r="E813" s="147"/>
      <c r="H813" s="139"/>
      <c r="I813" s="148"/>
    </row>
    <row r="814" ht="15.75" customHeight="1">
      <c r="B814" s="5"/>
      <c r="E814" s="147"/>
      <c r="H814" s="139"/>
      <c r="I814" s="148"/>
    </row>
    <row r="815" ht="15.75" customHeight="1">
      <c r="B815" s="5"/>
      <c r="E815" s="147"/>
      <c r="H815" s="139"/>
      <c r="I815" s="148"/>
    </row>
    <row r="816" ht="15.75" customHeight="1">
      <c r="B816" s="5"/>
      <c r="E816" s="147"/>
      <c r="H816" s="139"/>
      <c r="I816" s="148"/>
    </row>
    <row r="817" ht="15.75" customHeight="1">
      <c r="B817" s="5"/>
      <c r="E817" s="147"/>
      <c r="H817" s="139"/>
      <c r="I817" s="148"/>
    </row>
    <row r="818" ht="15.75" customHeight="1">
      <c r="B818" s="5"/>
      <c r="E818" s="147"/>
      <c r="H818" s="139"/>
      <c r="I818" s="148"/>
    </row>
    <row r="819" ht="15.75" customHeight="1">
      <c r="B819" s="5"/>
      <c r="E819" s="147"/>
      <c r="H819" s="139"/>
      <c r="I819" s="148"/>
    </row>
    <row r="820" ht="15.75" customHeight="1">
      <c r="B820" s="5"/>
      <c r="E820" s="147"/>
      <c r="H820" s="139"/>
      <c r="I820" s="148"/>
    </row>
    <row r="821" ht="15.75" customHeight="1">
      <c r="B821" s="5"/>
      <c r="E821" s="147"/>
      <c r="H821" s="139"/>
      <c r="I821" s="148"/>
    </row>
    <row r="822" ht="15.75" customHeight="1">
      <c r="B822" s="5"/>
      <c r="E822" s="147"/>
      <c r="H822" s="139"/>
      <c r="I822" s="148"/>
    </row>
    <row r="823" ht="15.75" customHeight="1">
      <c r="B823" s="5"/>
      <c r="E823" s="147"/>
      <c r="H823" s="139"/>
      <c r="I823" s="148"/>
    </row>
    <row r="824" ht="15.75" customHeight="1">
      <c r="B824" s="5"/>
      <c r="E824" s="147"/>
      <c r="H824" s="139"/>
      <c r="I824" s="148"/>
    </row>
    <row r="825" ht="15.75" customHeight="1">
      <c r="B825" s="5"/>
      <c r="E825" s="147"/>
      <c r="H825" s="139"/>
      <c r="I825" s="148"/>
    </row>
    <row r="826" ht="15.75" customHeight="1">
      <c r="B826" s="5"/>
      <c r="E826" s="147"/>
      <c r="H826" s="139"/>
      <c r="I826" s="148"/>
    </row>
    <row r="827" ht="15.75" customHeight="1">
      <c r="B827" s="5"/>
      <c r="E827" s="147"/>
      <c r="H827" s="139"/>
      <c r="I827" s="148"/>
    </row>
    <row r="828" ht="15.75" customHeight="1">
      <c r="B828" s="5"/>
      <c r="E828" s="147"/>
      <c r="H828" s="139"/>
      <c r="I828" s="148"/>
    </row>
    <row r="829" ht="15.75" customHeight="1">
      <c r="B829" s="5"/>
      <c r="E829" s="147"/>
      <c r="H829" s="139"/>
      <c r="I829" s="148"/>
    </row>
    <row r="830" ht="15.75" customHeight="1">
      <c r="B830" s="5"/>
      <c r="E830" s="147"/>
      <c r="H830" s="139"/>
      <c r="I830" s="148"/>
    </row>
    <row r="831" ht="15.75" customHeight="1">
      <c r="B831" s="5"/>
      <c r="E831" s="147"/>
      <c r="H831" s="139"/>
      <c r="I831" s="148"/>
    </row>
    <row r="832" ht="15.75" customHeight="1">
      <c r="B832" s="5"/>
      <c r="E832" s="147"/>
      <c r="H832" s="139"/>
      <c r="I832" s="148"/>
    </row>
    <row r="833" ht="15.75" customHeight="1">
      <c r="B833" s="5"/>
      <c r="E833" s="147"/>
      <c r="H833" s="139"/>
      <c r="I833" s="148"/>
    </row>
    <row r="834" ht="15.75" customHeight="1">
      <c r="B834" s="5"/>
      <c r="E834" s="147"/>
      <c r="H834" s="139"/>
      <c r="I834" s="148"/>
    </row>
    <row r="835" ht="15.75" customHeight="1">
      <c r="B835" s="5"/>
      <c r="E835" s="147"/>
      <c r="H835" s="139"/>
      <c r="I835" s="148"/>
    </row>
    <row r="836" ht="15.75" customHeight="1">
      <c r="B836" s="5"/>
      <c r="E836" s="147"/>
      <c r="H836" s="139"/>
      <c r="I836" s="148"/>
    </row>
    <row r="837" ht="15.75" customHeight="1">
      <c r="B837" s="5"/>
      <c r="E837" s="147"/>
      <c r="H837" s="139"/>
      <c r="I837" s="148"/>
    </row>
    <row r="838" ht="15.75" customHeight="1">
      <c r="B838" s="5"/>
      <c r="E838" s="147"/>
      <c r="H838" s="139"/>
      <c r="I838" s="148"/>
    </row>
    <row r="839" ht="15.75" customHeight="1">
      <c r="B839" s="5"/>
      <c r="E839" s="147"/>
      <c r="H839" s="139"/>
      <c r="I839" s="148"/>
    </row>
    <row r="840" ht="15.75" customHeight="1">
      <c r="B840" s="5"/>
      <c r="E840" s="147"/>
      <c r="H840" s="139"/>
      <c r="I840" s="148"/>
    </row>
    <row r="841" ht="15.75" customHeight="1">
      <c r="B841" s="5"/>
      <c r="E841" s="147"/>
      <c r="H841" s="139"/>
      <c r="I841" s="148"/>
    </row>
    <row r="842" ht="15.75" customHeight="1">
      <c r="B842" s="5"/>
      <c r="E842" s="147"/>
      <c r="H842" s="139"/>
      <c r="I842" s="148"/>
    </row>
    <row r="843" ht="15.75" customHeight="1">
      <c r="B843" s="5"/>
      <c r="E843" s="147"/>
      <c r="H843" s="139"/>
      <c r="I843" s="148"/>
    </row>
    <row r="844" ht="15.75" customHeight="1">
      <c r="B844" s="5"/>
      <c r="E844" s="147"/>
      <c r="H844" s="139"/>
      <c r="I844" s="148"/>
    </row>
    <row r="845" ht="15.75" customHeight="1">
      <c r="B845" s="5"/>
      <c r="E845" s="147"/>
      <c r="H845" s="139"/>
      <c r="I845" s="148"/>
    </row>
    <row r="846" ht="15.75" customHeight="1">
      <c r="B846" s="5"/>
      <c r="E846" s="147"/>
      <c r="H846" s="139"/>
      <c r="I846" s="148"/>
    </row>
    <row r="847" ht="15.75" customHeight="1">
      <c r="B847" s="5"/>
      <c r="E847" s="147"/>
      <c r="H847" s="139"/>
      <c r="I847" s="148"/>
    </row>
    <row r="848" ht="15.75" customHeight="1">
      <c r="B848" s="5"/>
      <c r="E848" s="147"/>
      <c r="H848" s="139"/>
      <c r="I848" s="148"/>
    </row>
    <row r="849" ht="15.75" customHeight="1">
      <c r="B849" s="5"/>
      <c r="E849" s="147"/>
      <c r="H849" s="139"/>
      <c r="I849" s="148"/>
    </row>
    <row r="850" ht="15.75" customHeight="1">
      <c r="B850" s="5"/>
      <c r="E850" s="147"/>
      <c r="H850" s="139"/>
      <c r="I850" s="148"/>
    </row>
    <row r="851" ht="15.75" customHeight="1">
      <c r="B851" s="5"/>
      <c r="E851" s="147"/>
      <c r="H851" s="139"/>
      <c r="I851" s="148"/>
    </row>
    <row r="852" ht="15.75" customHeight="1">
      <c r="B852" s="5"/>
      <c r="E852" s="147"/>
      <c r="H852" s="139"/>
      <c r="I852" s="148"/>
    </row>
    <row r="853" ht="15.75" customHeight="1">
      <c r="B853" s="5"/>
      <c r="E853" s="147"/>
      <c r="H853" s="139"/>
      <c r="I853" s="148"/>
    </row>
    <row r="854" ht="15.75" customHeight="1">
      <c r="B854" s="5"/>
      <c r="E854" s="147"/>
      <c r="H854" s="139"/>
      <c r="I854" s="148"/>
    </row>
    <row r="855" ht="15.75" customHeight="1">
      <c r="B855" s="5"/>
      <c r="E855" s="147"/>
      <c r="H855" s="139"/>
      <c r="I855" s="148"/>
    </row>
    <row r="856" ht="15.75" customHeight="1">
      <c r="B856" s="5"/>
      <c r="E856" s="147"/>
      <c r="H856" s="139"/>
      <c r="I856" s="148"/>
    </row>
    <row r="857" ht="15.75" customHeight="1">
      <c r="B857" s="5"/>
      <c r="E857" s="147"/>
      <c r="H857" s="139"/>
      <c r="I857" s="148"/>
    </row>
    <row r="858" ht="15.75" customHeight="1">
      <c r="B858" s="5"/>
      <c r="E858" s="147"/>
      <c r="H858" s="139"/>
      <c r="I858" s="148"/>
    </row>
    <row r="859" ht="15.75" customHeight="1">
      <c r="B859" s="5"/>
      <c r="E859" s="147"/>
      <c r="H859" s="139"/>
      <c r="I859" s="148"/>
    </row>
    <row r="860" ht="15.75" customHeight="1">
      <c r="B860" s="5"/>
      <c r="E860" s="147"/>
      <c r="H860" s="139"/>
      <c r="I860" s="148"/>
    </row>
    <row r="861" ht="15.75" customHeight="1">
      <c r="B861" s="5"/>
      <c r="E861" s="147"/>
      <c r="H861" s="139"/>
      <c r="I861" s="148"/>
    </row>
    <row r="862" ht="15.75" customHeight="1">
      <c r="B862" s="5"/>
      <c r="E862" s="147"/>
      <c r="H862" s="139"/>
      <c r="I862" s="148"/>
    </row>
    <row r="863" ht="15.75" customHeight="1">
      <c r="B863" s="5"/>
      <c r="E863" s="147"/>
      <c r="H863" s="139"/>
      <c r="I863" s="148"/>
    </row>
    <row r="864" ht="15.75" customHeight="1">
      <c r="B864" s="5"/>
      <c r="E864" s="147"/>
      <c r="H864" s="139"/>
      <c r="I864" s="148"/>
    </row>
    <row r="865" ht="15.75" customHeight="1">
      <c r="B865" s="5"/>
      <c r="E865" s="147"/>
      <c r="H865" s="139"/>
      <c r="I865" s="148"/>
    </row>
    <row r="866" ht="15.75" customHeight="1">
      <c r="B866" s="5"/>
      <c r="E866" s="147"/>
      <c r="H866" s="139"/>
      <c r="I866" s="148"/>
    </row>
    <row r="867" ht="15.75" customHeight="1">
      <c r="B867" s="5"/>
      <c r="E867" s="147"/>
      <c r="H867" s="139"/>
      <c r="I867" s="148"/>
    </row>
    <row r="868" ht="15.75" customHeight="1">
      <c r="B868" s="5"/>
      <c r="E868" s="147"/>
      <c r="H868" s="139"/>
      <c r="I868" s="148"/>
    </row>
    <row r="869" ht="15.75" customHeight="1">
      <c r="B869" s="5"/>
      <c r="E869" s="147"/>
      <c r="H869" s="139"/>
      <c r="I869" s="148"/>
    </row>
    <row r="870" ht="15.75" customHeight="1">
      <c r="B870" s="5"/>
      <c r="E870" s="147"/>
      <c r="H870" s="139"/>
      <c r="I870" s="148"/>
    </row>
    <row r="871" ht="15.75" customHeight="1">
      <c r="B871" s="5"/>
      <c r="E871" s="147"/>
      <c r="H871" s="139"/>
      <c r="I871" s="148"/>
    </row>
    <row r="872" ht="15.75" customHeight="1">
      <c r="B872" s="5"/>
      <c r="E872" s="147"/>
      <c r="H872" s="139"/>
      <c r="I872" s="148"/>
    </row>
    <row r="873" ht="15.75" customHeight="1">
      <c r="B873" s="5"/>
      <c r="E873" s="147"/>
      <c r="H873" s="139"/>
      <c r="I873" s="148"/>
    </row>
    <row r="874" ht="15.75" customHeight="1">
      <c r="B874" s="5"/>
      <c r="E874" s="147"/>
      <c r="H874" s="139"/>
      <c r="I874" s="148"/>
    </row>
    <row r="875" ht="15.75" customHeight="1">
      <c r="B875" s="5"/>
      <c r="E875" s="147"/>
      <c r="H875" s="139"/>
      <c r="I875" s="148"/>
    </row>
    <row r="876" ht="15.75" customHeight="1">
      <c r="B876" s="5"/>
      <c r="E876" s="147"/>
      <c r="H876" s="139"/>
      <c r="I876" s="148"/>
    </row>
    <row r="877" ht="15.75" customHeight="1">
      <c r="B877" s="5"/>
      <c r="E877" s="147"/>
      <c r="H877" s="139"/>
      <c r="I877" s="148"/>
    </row>
    <row r="878" ht="15.75" customHeight="1">
      <c r="B878" s="5"/>
      <c r="E878" s="147"/>
      <c r="H878" s="139"/>
      <c r="I878" s="148"/>
    </row>
    <row r="879" ht="15.75" customHeight="1">
      <c r="B879" s="5"/>
      <c r="E879" s="147"/>
      <c r="H879" s="139"/>
      <c r="I879" s="148"/>
    </row>
    <row r="880" ht="15.75" customHeight="1">
      <c r="B880" s="5"/>
      <c r="E880" s="147"/>
      <c r="H880" s="139"/>
      <c r="I880" s="148"/>
    </row>
    <row r="881" ht="15.75" customHeight="1">
      <c r="B881" s="5"/>
      <c r="E881" s="147"/>
      <c r="H881" s="139"/>
      <c r="I881" s="148"/>
    </row>
    <row r="882" ht="15.75" customHeight="1">
      <c r="B882" s="5"/>
      <c r="E882" s="147"/>
      <c r="H882" s="139"/>
      <c r="I882" s="148"/>
    </row>
    <row r="883" ht="15.75" customHeight="1">
      <c r="B883" s="5"/>
      <c r="E883" s="147"/>
      <c r="H883" s="139"/>
      <c r="I883" s="148"/>
    </row>
    <row r="884" ht="15.75" customHeight="1">
      <c r="B884" s="5"/>
      <c r="E884" s="147"/>
      <c r="H884" s="139"/>
      <c r="I884" s="148"/>
    </row>
    <row r="885" ht="15.75" customHeight="1">
      <c r="B885" s="5"/>
      <c r="E885" s="147"/>
      <c r="H885" s="139"/>
      <c r="I885" s="148"/>
    </row>
    <row r="886" ht="15.75" customHeight="1">
      <c r="B886" s="5"/>
      <c r="E886" s="147"/>
      <c r="H886" s="139"/>
      <c r="I886" s="148"/>
    </row>
    <row r="887" ht="15.75" customHeight="1">
      <c r="B887" s="5"/>
      <c r="E887" s="147"/>
      <c r="H887" s="139"/>
      <c r="I887" s="148"/>
    </row>
    <row r="888" ht="15.75" customHeight="1">
      <c r="B888" s="5"/>
      <c r="E888" s="147"/>
      <c r="H888" s="139"/>
      <c r="I888" s="148"/>
    </row>
    <row r="889" ht="15.75" customHeight="1">
      <c r="B889" s="5"/>
      <c r="E889" s="147"/>
      <c r="H889" s="139"/>
      <c r="I889" s="148"/>
    </row>
    <row r="890" ht="15.75" customHeight="1">
      <c r="B890" s="5"/>
      <c r="E890" s="147"/>
      <c r="H890" s="139"/>
      <c r="I890" s="148"/>
    </row>
    <row r="891" ht="15.75" customHeight="1">
      <c r="B891" s="5"/>
      <c r="E891" s="147"/>
      <c r="H891" s="139"/>
      <c r="I891" s="148"/>
    </row>
    <row r="892" ht="15.75" customHeight="1">
      <c r="B892" s="5"/>
      <c r="E892" s="147"/>
      <c r="H892" s="139"/>
      <c r="I892" s="148"/>
    </row>
    <row r="893" ht="15.75" customHeight="1">
      <c r="B893" s="5"/>
      <c r="E893" s="147"/>
      <c r="H893" s="139"/>
      <c r="I893" s="148"/>
    </row>
    <row r="894" ht="15.75" customHeight="1">
      <c r="B894" s="5"/>
      <c r="E894" s="147"/>
      <c r="H894" s="139"/>
      <c r="I894" s="148"/>
    </row>
    <row r="895" ht="15.75" customHeight="1">
      <c r="B895" s="5"/>
      <c r="E895" s="147"/>
      <c r="H895" s="139"/>
      <c r="I895" s="148"/>
    </row>
    <row r="896" ht="15.75" customHeight="1">
      <c r="B896" s="5"/>
      <c r="E896" s="147"/>
      <c r="H896" s="139"/>
      <c r="I896" s="148"/>
    </row>
    <row r="897" ht="15.75" customHeight="1">
      <c r="B897" s="5"/>
      <c r="E897" s="147"/>
      <c r="H897" s="139"/>
      <c r="I897" s="148"/>
    </row>
    <row r="898" ht="15.75" customHeight="1">
      <c r="B898" s="5"/>
      <c r="E898" s="147"/>
      <c r="H898" s="139"/>
      <c r="I898" s="148"/>
    </row>
    <row r="899" ht="15.75" customHeight="1">
      <c r="B899" s="5"/>
      <c r="E899" s="147"/>
      <c r="H899" s="139"/>
      <c r="I899" s="148"/>
    </row>
    <row r="900" ht="15.75" customHeight="1">
      <c r="B900" s="5"/>
      <c r="E900" s="147"/>
      <c r="H900" s="139"/>
      <c r="I900" s="148"/>
    </row>
    <row r="901" ht="15.75" customHeight="1">
      <c r="B901" s="5"/>
      <c r="E901" s="147"/>
      <c r="H901" s="139"/>
      <c r="I901" s="148"/>
    </row>
    <row r="902" ht="15.75" customHeight="1">
      <c r="B902" s="5"/>
      <c r="E902" s="147"/>
      <c r="H902" s="139"/>
      <c r="I902" s="148"/>
    </row>
    <row r="903" ht="15.75" customHeight="1">
      <c r="B903" s="5"/>
      <c r="E903" s="147"/>
      <c r="H903" s="139"/>
      <c r="I903" s="148"/>
    </row>
    <row r="904" ht="15.75" customHeight="1">
      <c r="B904" s="5"/>
      <c r="E904" s="147"/>
      <c r="H904" s="139"/>
      <c r="I904" s="148"/>
    </row>
    <row r="905" ht="15.75" customHeight="1">
      <c r="B905" s="5"/>
      <c r="E905" s="147"/>
      <c r="H905" s="139"/>
      <c r="I905" s="148"/>
    </row>
    <row r="906" ht="15.75" customHeight="1">
      <c r="B906" s="5"/>
      <c r="E906" s="147"/>
      <c r="H906" s="139"/>
      <c r="I906" s="148"/>
    </row>
    <row r="907" ht="15.75" customHeight="1">
      <c r="B907" s="5"/>
      <c r="E907" s="147"/>
      <c r="H907" s="139"/>
      <c r="I907" s="148"/>
    </row>
    <row r="908" ht="15.75" customHeight="1">
      <c r="B908" s="5"/>
      <c r="E908" s="147"/>
      <c r="H908" s="139"/>
      <c r="I908" s="148"/>
    </row>
    <row r="909" ht="15.75" customHeight="1">
      <c r="B909" s="5"/>
      <c r="E909" s="147"/>
      <c r="H909" s="139"/>
      <c r="I909" s="148"/>
    </row>
    <row r="910" ht="15.75" customHeight="1">
      <c r="B910" s="5"/>
      <c r="E910" s="147"/>
      <c r="H910" s="139"/>
      <c r="I910" s="148"/>
    </row>
    <row r="911" ht="15.75" customHeight="1">
      <c r="B911" s="5"/>
      <c r="E911" s="147"/>
      <c r="H911" s="139"/>
      <c r="I911" s="148"/>
    </row>
    <row r="912" ht="15.75" customHeight="1">
      <c r="B912" s="5"/>
      <c r="E912" s="147"/>
      <c r="H912" s="139"/>
      <c r="I912" s="148"/>
    </row>
    <row r="913" ht="15.75" customHeight="1">
      <c r="B913" s="5"/>
      <c r="E913" s="147"/>
      <c r="H913" s="139"/>
      <c r="I913" s="148"/>
    </row>
    <row r="914" ht="15.75" customHeight="1">
      <c r="B914" s="5"/>
      <c r="E914" s="147"/>
      <c r="H914" s="139"/>
      <c r="I914" s="148"/>
    </row>
    <row r="915" ht="15.75" customHeight="1">
      <c r="B915" s="5"/>
      <c r="E915" s="147"/>
      <c r="H915" s="139"/>
      <c r="I915" s="148"/>
    </row>
    <row r="916" ht="15.75" customHeight="1">
      <c r="B916" s="5"/>
      <c r="E916" s="147"/>
      <c r="H916" s="139"/>
      <c r="I916" s="148"/>
    </row>
    <row r="917" ht="15.75" customHeight="1">
      <c r="B917" s="5"/>
      <c r="E917" s="147"/>
      <c r="H917" s="139"/>
      <c r="I917" s="148"/>
    </row>
    <row r="918" ht="15.75" customHeight="1">
      <c r="B918" s="5"/>
      <c r="E918" s="147"/>
      <c r="H918" s="139"/>
      <c r="I918" s="148"/>
    </row>
    <row r="919" ht="15.75" customHeight="1">
      <c r="B919" s="5"/>
      <c r="E919" s="147"/>
      <c r="H919" s="139"/>
      <c r="I919" s="148"/>
    </row>
    <row r="920" ht="15.75" customHeight="1">
      <c r="B920" s="5"/>
      <c r="E920" s="147"/>
      <c r="H920" s="139"/>
      <c r="I920" s="148"/>
    </row>
    <row r="921" ht="15.75" customHeight="1">
      <c r="B921" s="5"/>
      <c r="E921" s="147"/>
      <c r="H921" s="139"/>
      <c r="I921" s="148"/>
    </row>
    <row r="922" ht="15.75" customHeight="1">
      <c r="B922" s="5"/>
      <c r="E922" s="147"/>
      <c r="H922" s="139"/>
      <c r="I922" s="148"/>
    </row>
    <row r="923" ht="15.75" customHeight="1">
      <c r="B923" s="5"/>
      <c r="E923" s="147"/>
      <c r="H923" s="139"/>
      <c r="I923" s="148"/>
    </row>
    <row r="924" ht="15.75" customHeight="1">
      <c r="B924" s="5"/>
      <c r="E924" s="147"/>
      <c r="H924" s="139"/>
      <c r="I924" s="148"/>
    </row>
    <row r="925" ht="15.75" customHeight="1">
      <c r="B925" s="5"/>
      <c r="E925" s="147"/>
      <c r="H925" s="139"/>
      <c r="I925" s="148"/>
    </row>
    <row r="926" ht="15.75" customHeight="1">
      <c r="B926" s="5"/>
      <c r="E926" s="147"/>
      <c r="H926" s="139"/>
      <c r="I926" s="148"/>
    </row>
    <row r="927" ht="15.75" customHeight="1">
      <c r="B927" s="5"/>
      <c r="E927" s="147"/>
      <c r="H927" s="139"/>
      <c r="I927" s="148"/>
    </row>
    <row r="928" ht="15.75" customHeight="1">
      <c r="B928" s="5"/>
      <c r="E928" s="147"/>
      <c r="H928" s="139"/>
      <c r="I928" s="148"/>
    </row>
    <row r="929" ht="15.75" customHeight="1">
      <c r="B929" s="5"/>
      <c r="E929" s="147"/>
      <c r="H929" s="139"/>
      <c r="I929" s="148"/>
    </row>
    <row r="930" ht="15.75" customHeight="1">
      <c r="B930" s="5"/>
      <c r="E930" s="147"/>
      <c r="H930" s="139"/>
      <c r="I930" s="148"/>
    </row>
    <row r="931" ht="15.75" customHeight="1">
      <c r="B931" s="5"/>
      <c r="E931" s="147"/>
      <c r="H931" s="139"/>
      <c r="I931" s="148"/>
    </row>
    <row r="932" ht="15.75" customHeight="1">
      <c r="B932" s="5"/>
      <c r="E932" s="147"/>
      <c r="H932" s="139"/>
      <c r="I932" s="148"/>
    </row>
    <row r="933" ht="15.75" customHeight="1">
      <c r="B933" s="5"/>
      <c r="E933" s="147"/>
      <c r="H933" s="139"/>
      <c r="I933" s="148"/>
    </row>
    <row r="934" ht="15.75" customHeight="1">
      <c r="B934" s="5"/>
      <c r="E934" s="147"/>
      <c r="H934" s="139"/>
      <c r="I934" s="148"/>
    </row>
    <row r="935" ht="15.75" customHeight="1">
      <c r="B935" s="5"/>
      <c r="E935" s="147"/>
      <c r="H935" s="139"/>
      <c r="I935" s="148"/>
    </row>
    <row r="936" ht="15.75" customHeight="1">
      <c r="B936" s="5"/>
      <c r="E936" s="147"/>
      <c r="H936" s="139"/>
      <c r="I936" s="148"/>
    </row>
    <row r="937" ht="15.75" customHeight="1">
      <c r="B937" s="5"/>
      <c r="E937" s="147"/>
      <c r="H937" s="139"/>
      <c r="I937" s="148"/>
    </row>
    <row r="938" ht="15.75" customHeight="1">
      <c r="B938" s="5"/>
      <c r="E938" s="147"/>
      <c r="H938" s="139"/>
      <c r="I938" s="148"/>
    </row>
    <row r="939" ht="15.75" customHeight="1">
      <c r="B939" s="5"/>
      <c r="E939" s="147"/>
      <c r="H939" s="139"/>
      <c r="I939" s="148"/>
    </row>
    <row r="940" ht="15.75" customHeight="1">
      <c r="B940" s="5"/>
      <c r="E940" s="147"/>
      <c r="H940" s="139"/>
      <c r="I940" s="148"/>
    </row>
    <row r="941" ht="15.75" customHeight="1">
      <c r="B941" s="5"/>
      <c r="E941" s="147"/>
      <c r="H941" s="139"/>
      <c r="I941" s="148"/>
    </row>
    <row r="942" ht="15.75" customHeight="1">
      <c r="B942" s="5"/>
      <c r="E942" s="147"/>
      <c r="H942" s="139"/>
      <c r="I942" s="148"/>
    </row>
    <row r="943" ht="15.75" customHeight="1">
      <c r="B943" s="5"/>
      <c r="E943" s="147"/>
      <c r="H943" s="139"/>
      <c r="I943" s="148"/>
    </row>
    <row r="944" ht="15.75" customHeight="1">
      <c r="B944" s="5"/>
      <c r="E944" s="147"/>
      <c r="H944" s="139"/>
      <c r="I944" s="148"/>
    </row>
    <row r="945" ht="15.75" customHeight="1">
      <c r="B945" s="5"/>
      <c r="E945" s="147"/>
      <c r="H945" s="139"/>
      <c r="I945" s="148"/>
    </row>
    <row r="946" ht="15.75" customHeight="1">
      <c r="B946" s="5"/>
      <c r="E946" s="147"/>
      <c r="H946" s="139"/>
      <c r="I946" s="148"/>
    </row>
    <row r="947" ht="15.75" customHeight="1">
      <c r="B947" s="5"/>
      <c r="E947" s="147"/>
      <c r="H947" s="139"/>
      <c r="I947" s="148"/>
    </row>
    <row r="948" ht="15.75" customHeight="1">
      <c r="B948" s="5"/>
      <c r="E948" s="147"/>
      <c r="H948" s="139"/>
      <c r="I948" s="148"/>
    </row>
    <row r="949" ht="15.75" customHeight="1">
      <c r="B949" s="5"/>
      <c r="E949" s="147"/>
      <c r="H949" s="139"/>
      <c r="I949" s="148"/>
    </row>
    <row r="950" ht="15.75" customHeight="1">
      <c r="B950" s="5"/>
      <c r="E950" s="147"/>
      <c r="H950" s="139"/>
      <c r="I950" s="148"/>
    </row>
    <row r="951" ht="15.75" customHeight="1">
      <c r="B951" s="5"/>
      <c r="E951" s="147"/>
      <c r="H951" s="139"/>
      <c r="I951" s="148"/>
    </row>
    <row r="952" ht="15.75" customHeight="1">
      <c r="B952" s="5"/>
      <c r="E952" s="147"/>
      <c r="H952" s="139"/>
      <c r="I952" s="148"/>
    </row>
    <row r="953" ht="15.75" customHeight="1">
      <c r="B953" s="5"/>
      <c r="E953" s="147"/>
      <c r="H953" s="139"/>
      <c r="I953" s="148"/>
    </row>
    <row r="954" ht="15.75" customHeight="1">
      <c r="B954" s="5"/>
      <c r="E954" s="147"/>
      <c r="H954" s="139"/>
      <c r="I954" s="148"/>
    </row>
    <row r="955" ht="15.75" customHeight="1">
      <c r="B955" s="5"/>
      <c r="E955" s="147"/>
      <c r="H955" s="139"/>
      <c r="I955" s="148"/>
    </row>
    <row r="956" ht="15.75" customHeight="1">
      <c r="B956" s="5"/>
      <c r="E956" s="147"/>
      <c r="H956" s="139"/>
      <c r="I956" s="148"/>
    </row>
    <row r="957" ht="15.75" customHeight="1">
      <c r="B957" s="5"/>
      <c r="E957" s="147"/>
      <c r="H957" s="139"/>
      <c r="I957" s="148"/>
    </row>
    <row r="958" ht="15.75" customHeight="1">
      <c r="B958" s="5"/>
      <c r="E958" s="147"/>
      <c r="H958" s="139"/>
      <c r="I958" s="148"/>
    </row>
    <row r="959" ht="15.75" customHeight="1">
      <c r="B959" s="5"/>
      <c r="E959" s="147"/>
      <c r="H959" s="139"/>
      <c r="I959" s="148"/>
    </row>
    <row r="960" ht="15.75" customHeight="1">
      <c r="B960" s="5"/>
      <c r="E960" s="147"/>
      <c r="H960" s="139"/>
      <c r="I960" s="148"/>
    </row>
    <row r="961" ht="15.75" customHeight="1">
      <c r="B961" s="5"/>
      <c r="E961" s="147"/>
      <c r="H961" s="139"/>
      <c r="I961" s="148"/>
    </row>
    <row r="962" ht="15.75" customHeight="1">
      <c r="B962" s="5"/>
      <c r="E962" s="147"/>
      <c r="H962" s="139"/>
      <c r="I962" s="148"/>
    </row>
    <row r="963" ht="15.75" customHeight="1">
      <c r="B963" s="5"/>
      <c r="E963" s="147"/>
      <c r="H963" s="139"/>
      <c r="I963" s="148"/>
    </row>
    <row r="964" ht="15.75" customHeight="1">
      <c r="B964" s="5"/>
      <c r="E964" s="147"/>
      <c r="H964" s="139"/>
      <c r="I964" s="148"/>
    </row>
    <row r="965" ht="15.75" customHeight="1">
      <c r="B965" s="5"/>
      <c r="E965" s="147"/>
      <c r="H965" s="139"/>
      <c r="I965" s="148"/>
    </row>
    <row r="966" ht="15.75" customHeight="1">
      <c r="B966" s="5"/>
      <c r="E966" s="147"/>
      <c r="H966" s="139"/>
      <c r="I966" s="148"/>
    </row>
    <row r="967" ht="15.75" customHeight="1">
      <c r="B967" s="5"/>
      <c r="E967" s="147"/>
      <c r="H967" s="139"/>
      <c r="I967" s="148"/>
    </row>
    <row r="968" ht="15.75" customHeight="1">
      <c r="B968" s="5"/>
      <c r="E968" s="147"/>
      <c r="H968" s="139"/>
      <c r="I968" s="148"/>
    </row>
    <row r="969" ht="15.75" customHeight="1">
      <c r="B969" s="5"/>
      <c r="E969" s="147"/>
      <c r="H969" s="139"/>
      <c r="I969" s="148"/>
    </row>
    <row r="970" ht="15.75" customHeight="1">
      <c r="B970" s="5"/>
      <c r="E970" s="147"/>
      <c r="H970" s="139"/>
      <c r="I970" s="148"/>
    </row>
    <row r="971" ht="15.75" customHeight="1">
      <c r="B971" s="5"/>
      <c r="E971" s="147"/>
      <c r="H971" s="139"/>
      <c r="I971" s="148"/>
    </row>
    <row r="972" ht="15.75" customHeight="1">
      <c r="B972" s="5"/>
      <c r="E972" s="147"/>
      <c r="H972" s="139"/>
      <c r="I972" s="148"/>
    </row>
    <row r="973" ht="15.75" customHeight="1">
      <c r="B973" s="5"/>
      <c r="E973" s="147"/>
      <c r="H973" s="139"/>
      <c r="I973" s="148"/>
    </row>
    <row r="974" ht="15.75" customHeight="1">
      <c r="B974" s="5"/>
      <c r="E974" s="147"/>
      <c r="H974" s="139"/>
      <c r="I974" s="148"/>
    </row>
    <row r="975" ht="15.75" customHeight="1">
      <c r="B975" s="5"/>
      <c r="E975" s="147"/>
      <c r="H975" s="139"/>
      <c r="I975" s="148"/>
    </row>
    <row r="976" ht="15.75" customHeight="1">
      <c r="B976" s="5"/>
      <c r="E976" s="147"/>
      <c r="H976" s="139"/>
      <c r="I976" s="148"/>
    </row>
    <row r="977" ht="15.75" customHeight="1">
      <c r="B977" s="5"/>
      <c r="E977" s="147"/>
      <c r="H977" s="139"/>
      <c r="I977" s="148"/>
    </row>
    <row r="978" ht="15.75" customHeight="1">
      <c r="B978" s="5"/>
      <c r="E978" s="147"/>
      <c r="H978" s="139"/>
      <c r="I978" s="148"/>
    </row>
    <row r="979" ht="15.75" customHeight="1">
      <c r="B979" s="5"/>
      <c r="E979" s="147"/>
      <c r="H979" s="139"/>
      <c r="I979" s="148"/>
    </row>
    <row r="980" ht="15.75" customHeight="1">
      <c r="B980" s="5"/>
      <c r="E980" s="147"/>
      <c r="H980" s="139"/>
      <c r="I980" s="148"/>
    </row>
    <row r="981" ht="15.75" customHeight="1">
      <c r="B981" s="5"/>
      <c r="E981" s="147"/>
      <c r="H981" s="139"/>
      <c r="I981" s="148"/>
    </row>
    <row r="982" ht="15.75" customHeight="1">
      <c r="B982" s="5"/>
      <c r="E982" s="147"/>
      <c r="H982" s="139"/>
      <c r="I982" s="148"/>
    </row>
    <row r="983" ht="15.75" customHeight="1">
      <c r="B983" s="5"/>
      <c r="E983" s="147"/>
      <c r="H983" s="139"/>
      <c r="I983" s="148"/>
    </row>
    <row r="984" ht="15.75" customHeight="1">
      <c r="B984" s="5"/>
      <c r="E984" s="147"/>
      <c r="H984" s="139"/>
      <c r="I984" s="148"/>
    </row>
    <row r="985" ht="15.75" customHeight="1">
      <c r="B985" s="5"/>
      <c r="E985" s="147"/>
      <c r="H985" s="139"/>
      <c r="I985" s="148"/>
    </row>
    <row r="986" ht="15.75" customHeight="1">
      <c r="B986" s="5"/>
      <c r="E986" s="147"/>
      <c r="H986" s="139"/>
      <c r="I986" s="148"/>
    </row>
    <row r="987" ht="15.75" customHeight="1">
      <c r="B987" s="5"/>
      <c r="E987" s="147"/>
      <c r="H987" s="139"/>
      <c r="I987" s="148"/>
    </row>
    <row r="988" ht="15.75" customHeight="1">
      <c r="B988" s="5"/>
      <c r="E988" s="147"/>
      <c r="H988" s="139"/>
      <c r="I988" s="148"/>
    </row>
    <row r="989" ht="15.75" customHeight="1">
      <c r="B989" s="5"/>
      <c r="E989" s="147"/>
      <c r="H989" s="139"/>
      <c r="I989" s="148"/>
    </row>
    <row r="990" ht="15.75" customHeight="1">
      <c r="B990" s="5"/>
      <c r="E990" s="147"/>
      <c r="H990" s="139"/>
      <c r="I990" s="148"/>
    </row>
    <row r="991" ht="15.75" customHeight="1">
      <c r="B991" s="5"/>
      <c r="E991" s="147"/>
      <c r="H991" s="139"/>
      <c r="I991" s="148"/>
    </row>
    <row r="992" ht="15.75" customHeight="1">
      <c r="B992" s="5"/>
      <c r="E992" s="147"/>
      <c r="H992" s="139"/>
      <c r="I992" s="148"/>
    </row>
    <row r="993" ht="15.75" customHeight="1">
      <c r="B993" s="5"/>
      <c r="E993" s="147"/>
      <c r="H993" s="139"/>
      <c r="I993" s="148"/>
    </row>
    <row r="994" ht="15.75" customHeight="1">
      <c r="B994" s="5"/>
      <c r="E994" s="147"/>
      <c r="H994" s="139"/>
      <c r="I994" s="148"/>
    </row>
    <row r="995" ht="15.75" customHeight="1">
      <c r="B995" s="5"/>
      <c r="E995" s="147"/>
      <c r="H995" s="139"/>
      <c r="I995" s="148"/>
    </row>
    <row r="996" ht="15.75" customHeight="1">
      <c r="B996" s="5"/>
      <c r="E996" s="147"/>
      <c r="H996" s="139"/>
      <c r="I996" s="148"/>
    </row>
    <row r="997" ht="15.75" customHeight="1">
      <c r="B997" s="5"/>
      <c r="E997" s="147"/>
      <c r="H997" s="139"/>
      <c r="I997" s="148"/>
    </row>
    <row r="998" ht="15.75" customHeight="1">
      <c r="B998" s="5"/>
      <c r="E998" s="147"/>
      <c r="H998" s="139"/>
      <c r="I998" s="148"/>
    </row>
    <row r="999" ht="15.75" customHeight="1">
      <c r="B999" s="5"/>
      <c r="E999" s="147"/>
      <c r="H999" s="139"/>
      <c r="I999" s="148"/>
    </row>
    <row r="1000" ht="15.75" customHeight="1">
      <c r="B1000" s="5"/>
      <c r="E1000" s="147"/>
      <c r="H1000" s="139"/>
      <c r="I1000" s="148"/>
    </row>
    <row r="1001" ht="15.75" customHeight="1">
      <c r="B1001" s="5"/>
      <c r="E1001" s="147"/>
      <c r="H1001" s="139"/>
      <c r="I1001" s="148"/>
    </row>
    <row r="1002" ht="15.75" customHeight="1">
      <c r="B1002" s="5"/>
      <c r="E1002" s="147"/>
      <c r="H1002" s="139"/>
      <c r="I1002" s="148"/>
    </row>
    <row r="1003" ht="15.75" customHeight="1">
      <c r="B1003" s="5"/>
      <c r="E1003" s="147"/>
      <c r="H1003" s="139"/>
      <c r="I1003" s="148"/>
    </row>
    <row r="1004" ht="15.75" customHeight="1">
      <c r="B1004" s="5"/>
      <c r="E1004" s="147"/>
      <c r="H1004" s="139"/>
      <c r="I1004" s="148"/>
    </row>
    <row r="1005" ht="15.75" customHeight="1">
      <c r="B1005" s="5"/>
      <c r="E1005" s="147"/>
      <c r="H1005" s="139"/>
      <c r="I1005" s="148"/>
    </row>
    <row r="1006" ht="15.75" customHeight="1">
      <c r="B1006" s="5"/>
      <c r="E1006" s="147"/>
      <c r="H1006" s="139"/>
      <c r="I1006" s="148"/>
    </row>
    <row r="1007" ht="15.75" customHeight="1">
      <c r="B1007" s="5"/>
      <c r="E1007" s="147"/>
      <c r="H1007" s="139"/>
      <c r="I1007" s="148"/>
    </row>
    <row r="1008" ht="15.75" customHeight="1">
      <c r="B1008" s="5"/>
      <c r="E1008" s="147"/>
      <c r="H1008" s="139"/>
      <c r="I1008" s="148"/>
    </row>
    <row r="1009" ht="15.75" customHeight="1">
      <c r="B1009" s="5"/>
      <c r="E1009" s="147"/>
      <c r="H1009" s="139"/>
      <c r="I1009" s="148"/>
    </row>
    <row r="1010" ht="15.75" customHeight="1">
      <c r="B1010" s="5"/>
      <c r="E1010" s="147"/>
      <c r="H1010" s="139"/>
      <c r="I1010" s="148"/>
    </row>
    <row r="1011" ht="15.75" customHeight="1">
      <c r="B1011" s="5"/>
      <c r="E1011" s="147"/>
      <c r="H1011" s="139"/>
      <c r="I1011" s="148"/>
    </row>
    <row r="1012" ht="15.75" customHeight="1">
      <c r="B1012" s="5"/>
      <c r="E1012" s="147"/>
      <c r="H1012" s="139"/>
      <c r="I1012" s="148"/>
    </row>
    <row r="1013" ht="15.75" customHeight="1">
      <c r="B1013" s="5"/>
      <c r="E1013" s="147"/>
      <c r="H1013" s="139"/>
      <c r="I1013" s="148"/>
    </row>
    <row r="1014" ht="15.75" customHeight="1">
      <c r="B1014" s="5"/>
      <c r="E1014" s="147"/>
      <c r="H1014" s="139"/>
      <c r="I1014" s="148"/>
    </row>
    <row r="1015" ht="15.75" customHeight="1">
      <c r="B1015" s="5"/>
      <c r="E1015" s="147"/>
      <c r="H1015" s="139"/>
      <c r="I1015" s="148"/>
    </row>
    <row r="1016" ht="15.75" customHeight="1">
      <c r="B1016" s="5"/>
      <c r="E1016" s="147"/>
      <c r="H1016" s="139"/>
      <c r="I1016" s="148"/>
    </row>
    <row r="1017" ht="15.75" customHeight="1">
      <c r="B1017" s="5"/>
      <c r="E1017" s="147"/>
      <c r="H1017" s="139"/>
      <c r="I1017" s="148"/>
    </row>
    <row r="1018" ht="15.75" customHeight="1">
      <c r="B1018" s="5"/>
      <c r="E1018" s="147"/>
      <c r="H1018" s="139"/>
      <c r="I1018" s="148"/>
    </row>
    <row r="1019" ht="15.75" customHeight="1">
      <c r="B1019" s="5"/>
      <c r="E1019" s="147"/>
      <c r="H1019" s="139"/>
      <c r="I1019" s="148"/>
    </row>
    <row r="1020" ht="15.75" customHeight="1">
      <c r="B1020" s="5"/>
      <c r="E1020" s="147"/>
      <c r="H1020" s="139"/>
      <c r="I1020" s="148"/>
    </row>
    <row r="1021" ht="15.75" customHeight="1">
      <c r="B1021" s="5"/>
      <c r="E1021" s="147"/>
      <c r="H1021" s="139"/>
      <c r="I1021" s="148"/>
    </row>
    <row r="1022" ht="15.75" customHeight="1">
      <c r="B1022" s="5"/>
      <c r="E1022" s="147"/>
      <c r="H1022" s="139"/>
      <c r="I1022" s="148"/>
    </row>
    <row r="1023" ht="15.75" customHeight="1">
      <c r="B1023" s="5"/>
      <c r="E1023" s="147"/>
      <c r="H1023" s="139"/>
      <c r="I1023" s="148"/>
    </row>
    <row r="1024" ht="15.75" customHeight="1">
      <c r="B1024" s="5"/>
      <c r="E1024" s="147"/>
      <c r="H1024" s="139"/>
      <c r="I1024" s="148"/>
    </row>
    <row r="1025" ht="15.75" customHeight="1">
      <c r="B1025" s="5"/>
      <c r="E1025" s="147"/>
      <c r="H1025" s="139"/>
      <c r="I1025" s="148"/>
    </row>
    <row r="1026" ht="15.75" customHeight="1">
      <c r="B1026" s="5"/>
      <c r="E1026" s="147"/>
      <c r="H1026" s="139"/>
      <c r="I1026" s="148"/>
    </row>
    <row r="1027" ht="15.75" customHeight="1">
      <c r="B1027" s="5"/>
      <c r="E1027" s="147"/>
      <c r="H1027" s="139"/>
      <c r="I1027" s="148"/>
    </row>
    <row r="1028" ht="15.75" customHeight="1">
      <c r="B1028" s="5"/>
      <c r="E1028" s="147"/>
      <c r="H1028" s="139"/>
      <c r="I1028" s="148"/>
    </row>
    <row r="1029" ht="15.75" customHeight="1">
      <c r="B1029" s="5"/>
      <c r="E1029" s="147"/>
      <c r="H1029" s="139"/>
      <c r="I1029" s="148"/>
    </row>
    <row r="1030" ht="15.75" customHeight="1">
      <c r="B1030" s="5"/>
      <c r="E1030" s="147"/>
      <c r="H1030" s="139"/>
      <c r="I1030" s="148"/>
    </row>
    <row r="1031" ht="15.75" customHeight="1">
      <c r="B1031" s="5"/>
      <c r="E1031" s="147"/>
      <c r="H1031" s="139"/>
      <c r="I1031" s="148"/>
    </row>
    <row r="1032" ht="15.75" customHeight="1">
      <c r="B1032" s="5"/>
      <c r="E1032" s="147"/>
      <c r="H1032" s="139"/>
      <c r="I1032" s="148"/>
    </row>
    <row r="1033" ht="15.75" customHeight="1">
      <c r="B1033" s="5"/>
      <c r="E1033" s="147"/>
      <c r="H1033" s="139"/>
      <c r="I1033" s="148"/>
    </row>
    <row r="1034" ht="15.75" customHeight="1">
      <c r="B1034" s="5"/>
      <c r="E1034" s="147"/>
      <c r="H1034" s="139"/>
      <c r="I1034" s="148"/>
    </row>
    <row r="1035" ht="15.75" customHeight="1">
      <c r="B1035" s="5"/>
      <c r="E1035" s="147"/>
      <c r="H1035" s="139"/>
      <c r="I1035" s="148"/>
    </row>
    <row r="1036" ht="15.75" customHeight="1">
      <c r="B1036" s="5"/>
      <c r="E1036" s="147"/>
      <c r="H1036" s="139"/>
      <c r="I1036" s="148"/>
    </row>
    <row r="1037" ht="15.75" customHeight="1">
      <c r="B1037" s="5"/>
      <c r="E1037" s="147"/>
      <c r="H1037" s="139"/>
      <c r="I1037" s="148"/>
    </row>
    <row r="1038" ht="15.75" customHeight="1">
      <c r="B1038" s="5"/>
      <c r="E1038" s="147"/>
      <c r="H1038" s="139"/>
      <c r="I1038" s="148"/>
    </row>
    <row r="1039" ht="15.75" customHeight="1">
      <c r="B1039" s="5"/>
      <c r="E1039" s="147"/>
      <c r="H1039" s="139"/>
      <c r="I1039" s="148"/>
    </row>
    <row r="1040" ht="15.75" customHeight="1">
      <c r="B1040" s="5"/>
      <c r="E1040" s="147"/>
      <c r="H1040" s="139"/>
      <c r="I1040" s="148"/>
    </row>
    <row r="1041" ht="15.75" customHeight="1">
      <c r="B1041" s="5"/>
      <c r="E1041" s="147"/>
      <c r="H1041" s="139"/>
      <c r="I1041" s="148"/>
    </row>
    <row r="1042" ht="15.75" customHeight="1">
      <c r="B1042" s="5"/>
      <c r="E1042" s="147"/>
      <c r="H1042" s="139"/>
      <c r="I1042" s="148"/>
    </row>
    <row r="1043" ht="15.75" customHeight="1">
      <c r="B1043" s="5"/>
      <c r="E1043" s="147"/>
      <c r="H1043" s="139"/>
      <c r="I1043" s="148"/>
    </row>
    <row r="1044" ht="15.75" customHeight="1">
      <c r="B1044" s="5"/>
      <c r="E1044" s="147"/>
      <c r="H1044" s="139"/>
      <c r="I1044" s="148"/>
    </row>
    <row r="1045" ht="15.75" customHeight="1">
      <c r="B1045" s="5"/>
      <c r="E1045" s="147"/>
      <c r="H1045" s="139"/>
      <c r="I1045" s="148"/>
    </row>
    <row r="1046" ht="15.75" customHeight="1">
      <c r="B1046" s="5"/>
      <c r="E1046" s="147"/>
      <c r="H1046" s="139"/>
      <c r="I1046" s="148"/>
    </row>
    <row r="1047" ht="15.75" customHeight="1">
      <c r="B1047" s="5"/>
      <c r="E1047" s="147"/>
      <c r="H1047" s="139"/>
      <c r="I1047" s="148"/>
    </row>
    <row r="1048" ht="15.75" customHeight="1">
      <c r="B1048" s="5"/>
      <c r="E1048" s="147"/>
      <c r="H1048" s="139"/>
      <c r="I1048" s="148"/>
    </row>
    <row r="1049" ht="15.75" customHeight="1">
      <c r="B1049" s="5"/>
      <c r="E1049" s="147"/>
      <c r="H1049" s="139"/>
      <c r="I1049" s="148"/>
    </row>
    <row r="1050" ht="15.75" customHeight="1">
      <c r="B1050" s="5"/>
      <c r="E1050" s="147"/>
      <c r="H1050" s="139"/>
      <c r="I1050" s="148"/>
    </row>
    <row r="1051" ht="15.75" customHeight="1">
      <c r="B1051" s="5"/>
      <c r="E1051" s="147"/>
      <c r="H1051" s="139"/>
      <c r="I1051" s="148"/>
    </row>
    <row r="1052" ht="15.75" customHeight="1">
      <c r="B1052" s="5"/>
      <c r="E1052" s="147"/>
      <c r="H1052" s="139"/>
      <c r="I1052" s="148"/>
    </row>
    <row r="1053" ht="15.75" customHeight="1">
      <c r="B1053" s="5"/>
      <c r="E1053" s="147"/>
      <c r="H1053" s="139"/>
      <c r="I1053" s="148"/>
    </row>
    <row r="1054" ht="15.75" customHeight="1">
      <c r="B1054" s="5"/>
      <c r="E1054" s="147"/>
      <c r="H1054" s="139"/>
      <c r="I1054" s="148"/>
    </row>
    <row r="1055" ht="15.75" customHeight="1">
      <c r="B1055" s="5"/>
      <c r="E1055" s="147"/>
      <c r="H1055" s="139"/>
      <c r="I1055" s="148"/>
    </row>
    <row r="1056" ht="15.75" customHeight="1">
      <c r="B1056" s="5"/>
      <c r="E1056" s="147"/>
      <c r="H1056" s="139"/>
      <c r="I1056" s="148"/>
    </row>
    <row r="1057" ht="15.75" customHeight="1">
      <c r="B1057" s="5"/>
      <c r="E1057" s="147"/>
      <c r="H1057" s="139"/>
      <c r="I1057" s="148"/>
    </row>
    <row r="1058" ht="15.75" customHeight="1">
      <c r="B1058" s="5"/>
      <c r="E1058" s="147"/>
      <c r="H1058" s="139"/>
      <c r="I1058" s="148"/>
    </row>
    <row r="1059" ht="15.75" customHeight="1">
      <c r="B1059" s="5"/>
      <c r="E1059" s="147"/>
      <c r="H1059" s="139"/>
      <c r="I1059" s="148"/>
    </row>
    <row r="1060" ht="15.75" customHeight="1">
      <c r="B1060" s="5"/>
      <c r="E1060" s="147"/>
      <c r="H1060" s="139"/>
      <c r="I1060" s="148"/>
    </row>
    <row r="1061" ht="15.75" customHeight="1">
      <c r="B1061" s="5"/>
      <c r="E1061" s="147"/>
      <c r="H1061" s="139"/>
      <c r="I1061" s="148"/>
    </row>
  </sheetData>
  <autoFilter ref="$A$1:$I$704">
    <filterColumn colId="0">
      <filters blank="1">
        <filter val="10/6/21"/>
        <filter val="2/15/24"/>
        <filter val="6/28/21"/>
        <filter val="9/20/23"/>
        <filter val="rolling?"/>
        <filter val="3/31/2023"/>
        <filter val="2/15/22"/>
        <filter val="2/5/24"/>
        <filter val="By nomination&#10;11/14/19"/>
        <filter val="2/15/23"/>
        <filter val="6/1/2023"/>
        <filter val="5/30/23"/>
        <filter val="TBD- announced early 2021"/>
        <filter val="2/15/21"/>
        <filter val="12/1/21"/>
        <filter val="12/1/22"/>
        <filter val="12/1/23"/>
        <filter val="1/16/24"/>
        <filter val="9/9/21"/>
        <filter val="4/25/23"/>
        <filter val="4/30/2021"/>
        <filter val="6/6/23"/>
        <filter val="4/30/2023"/>
        <filter val="5/3/23"/>
        <filter val="4/19/23"/>
        <filter val="8/15/23"/>
        <filter val="02/17/2021"/>
        <filter val="10/22/21"/>
        <filter val="8/15/21"/>
        <filter val="12/14/21"/>
        <filter val="11/20/21"/>
        <filter val="09/06/2022"/>
        <filter val="11/20/23"/>
        <filter val="11/9/22"/>
        <filter val="4/5/23"/>
        <filter val="Varies"/>
        <filter val="4/5/21"/>
        <filter val="10/16/23"/>
        <filter val="3/31/23"/>
        <filter val="3/31/22"/>
        <filter val="3/31/21"/>
        <filter val="7/15/22"/>
        <filter val="7/15/21"/>
        <filter val="4/30/21"/>
        <filter val="program ended"/>
        <filter val="Suspended due to COVID"/>
        <filter val="rolling"/>
        <filter val="1/28/22"/>
        <filter val="7/28/22"/>
        <filter val="2/22/24"/>
        <filter val="6/12/23"/>
        <filter val="10/15/21"/>
        <filter val="10/15/23"/>
        <filter val="3/8/23"/>
        <filter val="9/25/21"/>
        <filter val="9/25/23"/>
        <filter val="8/1/21"/>
        <filter val="10/1/23"/>
        <filter val="8/1/22"/>
        <filter val="8/1/23"/>
        <filter val="10/1/21"/>
        <filter val="TBA - previously 12/1/20"/>
        <filter val="6/8/2021"/>
        <filter val="1/23/23"/>
        <filter val="Rolling/TBD"/>
        <filter val="4/13/23"/>
        <filter val="11/3/23"/>
        <filter val="11/15/21"/>
        <filter val="10/15/2021"/>
        <filter val="10/15/2022"/>
        <filter val="05/31/2023"/>
        <filter val="By invitation"/>
        <filter val="11/15/23"/>
        <filter val="Suspended due to Covid"/>
        <filter val="closed"/>
        <filter val="2/14/22"/>
        <filter val="1/17/22"/>
        <filter val="9/8/23"/>
        <filter val="10/10/21"/>
        <filter val="7/17/23"/>
        <filter val="3/1/24"/>
        <filter val="2/28/24"/>
        <filter val="8/2/23"/>
        <filter val="8/2/22"/>
        <filter val="2/28/22"/>
        <filter val="2/28/23"/>
        <filter val="5/4/21"/>
        <filter val="12/15/21"/>
        <filter val="12/15/22"/>
        <filter val="3/1/21"/>
        <filter val="09/15/2023"/>
        <filter val="12/15/23"/>
        <filter val="3/1/22"/>
        <filter val="3/1/23"/>
        <filter val="7/26/23"/>
        <filter val="11/16/21"/>
        <filter val="11/16/22"/>
        <filter val="5/11/23"/>
        <filter val="2/7/2024"/>
        <filter val="9/.../21"/>
        <filter val="4/12/23"/>
        <filter val="Contact director"/>
        <filter val="9/14/2021"/>
        <filter val="1/12/24"/>
        <filter val="1/12/23"/>
        <filter val="Various"/>
        <filter val="1/12/22"/>
        <filter val="3/6/23"/>
        <filter val="3/30/23"/>
        <filter val="9/27/21"/>
        <filter val="3/30/21"/>
        <filter val="8/11/23"/>
        <filter val="11/7/2022"/>
        <filter val="6/27/23"/>
        <filter val="07/19/2023"/>
        <filter val="4/1/21"/>
        <filter val="4/1/23"/>
        <filter val="11/5/21"/>
        <filter val="3/24/23"/>
        <filter val="5/16/23"/>
        <filter val="3/29/23"/>
        <filter val="3/7/22"/>
        <filter val="2/13/23"/>
        <filter val="ROLLING"/>
        <filter val="9/26/23"/>
        <filter val="DEFUNCT"/>
        <filter val="1/24/22"/>
        <filter val="11/4/21"/>
        <filter val="2/7/24"/>
        <filter val="5/17/23"/>
        <filter val="9/7/23"/>
        <filter val="10/5/21"/>
        <filter val="10/5/23"/>
        <filter val="1/9/2023"/>
        <filter val="9/10/23"/>
        <filter val="7/16/22"/>
        <filter val="10/28/23"/>
        <filter val="5/5/23"/>
        <filter val="2/29/24"/>
        <filter val="1/3/22"/>
        <filter val="2/18/22"/>
        <filter val="9/15/23"/>
        <filter val="9/15/21"/>
        <filter val="2/2/22"/>
        <filter val="10/07/2021"/>
        <filter val="1/30/24"/>
        <filter val="1/13/23"/>
        <filter val="5/21/21"/>
        <filter val="9/1/21"/>
        <filter val="7/13/23"/>
        <filter val="9/28/21"/>
        <filter val="9/1/23"/>
        <filter val="9/28/23"/>
        <filter val="9/1/22"/>
        <filter val="Status TBD"/>
        <filter val="4/16/21"/>
        <filter val="PAUSED"/>
        <filter val="3/1/2022"/>
        <filter val="2/24/23"/>
        <filter val="11/6/22"/>
        <filter val="11/12/21"/>
        <filter val="11/6/23"/>
        <filter val="12/9/21"/>
        <filter val="5/15/21"/>
        <filter val="5/15/23"/>
        <filter val="6/14/23"/>
        <filter val="10/10/2023"/>
        <filter val="1/31/23"/>
        <filter val="10/30/23"/>
        <filter val="1/31/24"/>
        <filter val="3/28/21"/>
        <filter val="2/12/22"/>
        <filter val="10/3/23"/>
        <filter val="7/18/23"/>
        <filter val="5/26/21"/>
        <filter val="4/14/2023"/>
        <filter val="7/31/21"/>
        <filter val="8/3/23"/>
        <filter val="11/23/21"/>
        <filter val="7/31/23"/>
        <filter val="In planning stages"/>
        <filter val="12/11/22"/>
        <filter val="8/3/21"/>
        <filter val="7/1/23"/>
        <filter val="11/1/21"/>
        <filter val="11/1/22"/>
        <filter val="11/1/23"/>
        <filter val="1/25/21"/>
        <filter val="11/17/21"/>
        <filter val="12/4/20"/>
        <filter val="1/5/23"/>
        <filter val="7/25/23"/>
        <filter val="2/8/22"/>
        <filter val="11/1/20"/>
        <filter val="404"/>
        <filter val="1/14/22"/>
        <filter val="10/4/21"/>
        <filter val="03/27/2023"/>
        <filter val="1/20/23"/>
        <filter val="8/4/23"/>
        <filter val="3/16/22"/>
        <filter val="1/4/22"/>
        <filter val="4/10/23"/>
        <filter val="9/16/23"/>
        <filter val="2/17/22"/>
        <filter val="2/17/21"/>
        <filter val="4/27/23"/>
        <filter val="2/1/24"/>
        <filter val="11/29/23"/>
        <filter val="2/1/22"/>
        <filter val="5/1/22"/>
        <filter val="12/01/2022"/>
        <filter val="5/1/23"/>
        <filter val="Rolling"/>
        <filter val="2/25/21"/>
        <filter val="6/21/21"/>
        <filter val="5/6/21"/>
        <filter val="5/10/21"/>
        <filter val="9/11/23"/>
        <filter val="Defunct"/>
        <filter val="6/15/23"/>
        <filter val="915/23"/>
        <filter val="10/31/2021"/>
        <filter val="9/30/22"/>
        <filter val="4/26/23"/>
        <filter val="9/30/23"/>
        <filter val="5/15/2023"/>
        <filter val="6/7/2021"/>
        <filter val="9/5/23"/>
        <filter val="9/5/22"/>
        <filter val="3/27/23"/>
        <filter val="5/25/21"/>
        <filter val="2/11/22"/>
        <filter val="5/19/21"/>
        <filter val="6/7/23"/>
        <filter val="9/30/21"/>
        <filter val="10/2/23"/>
        <filter val="8/31/23"/>
        <filter val="10/20/21"/>
        <filter val="5/7/21"/>
        <filter val="TBA"/>
        <filter val="06/09/2021"/>
        <filter val="1/6/23"/>
        <filter val="TBD"/>
        <filter val="9/24/21"/>
        <filter val="12/5/22"/>
        <filter val="By invitation?"/>
        <filter val="4/26/21"/>
        <filter val="10/7/23"/>
        <filter val="1/31/2022"/>
        <filter val="12/18/21"/>
        <filter val="1/31/2024"/>
        <filter val="12/18/23"/>
        <filter val="Program on hold"/>
        <filter val="6/30/2021"/>
        <filter val="9/13/2023"/>
        <filter val="6/30/22"/>
        <filter val="1/1/21"/>
        <filter val="05/16/2021"/>
        <filter val="6/30/21"/>
        <filter val="4/15/23"/>
        <filter val="6/30/23"/>
        <filter val="4/15/22"/>
        <filter val="1/1/24"/>
        <filter val="TBA after July 1"/>
        <filter val="tbd"/>
        <filter val="05/27/2023"/>
        <filter val="2/16/24"/>
        <filter val="2/16/23"/>
        <filter val="9/13/23"/>
        <filter val="2/16/22"/>
        <filter val="7/5/23"/>
        <filter val="4/21/22"/>
        <filter val="1/15/22"/>
        <filter val="1/15/23"/>
        <filter val="1/15/24"/>
        <filter val="11/30/22"/>
        <filter val="CLOSED"/>
        <filter val="5/2/22"/>
        <filter val="10/25/21"/>
        <filter val="6/1/23"/>
        <filter val="10/25/23"/>
        <filter val="10/8/21"/>
        <filter val="04/15/2023"/>
        <filter val="8/18/23"/>
        <filter val="11/14/22"/>
        <filter val="7/30/21"/>
        <filter val="09/13/2023"/>
        <filter val="4/20/23"/>
        <filter val="09/13/2022"/>
        <filter val="1/10/24"/>
        <filter val="3/21/23"/>
        <filter val="Suspended"/>
        <filter val="08/08/2021"/>
        <filter val="9/29/23"/>
        <filter val="3/26/21"/>
        <filter val="2/10/22"/>
        <filter val="3/15/23"/>
        <filter val="10/1/2023"/>
        <filter val="8/5/21"/>
        <filter val="4/3/23"/>
        <filter val="3/15/22"/>
        <filter val="5/31/22"/>
        <filter val="5/31/21"/>
        <filter val="5/14/21"/>
        <filter val="12/6/23"/>
        <filter val="5/31/23"/>
        <filter val="10/31/23"/>
        <filter val="09/29/2021"/>
        <filter val="10/31/21"/>
      </filters>
    </filterColumn>
    <sortState ref="A1:I704">
      <sortCondition ref="A1:A704"/>
    </sortState>
  </autoFilter>
  <hyperlinks>
    <hyperlink r:id="rId1" ref="B3"/>
    <hyperlink r:id="rId2" ref="D3"/>
    <hyperlink r:id="rId3" ref="B4"/>
    <hyperlink r:id="rId4" ref="D4"/>
    <hyperlink r:id="rId5" ref="B5"/>
    <hyperlink r:id="rId6" ref="D5"/>
    <hyperlink r:id="rId7" ref="B6"/>
    <hyperlink r:id="rId8" ref="D6"/>
    <hyperlink r:id="rId9" ref="B7"/>
    <hyperlink r:id="rId10" ref="D7"/>
    <hyperlink r:id="rId11" ref="D8"/>
    <hyperlink r:id="rId12" ref="B10"/>
    <hyperlink r:id="rId13" ref="D10"/>
    <hyperlink r:id="rId14" ref="D12"/>
    <hyperlink r:id="rId15" ref="D16"/>
    <hyperlink r:id="rId16" ref="D17"/>
    <hyperlink r:id="rId17" ref="B19"/>
    <hyperlink r:id="rId18" ref="D19"/>
    <hyperlink r:id="rId19" ref="D20"/>
    <hyperlink r:id="rId20" ref="D21"/>
    <hyperlink r:id="rId21" ref="D22"/>
    <hyperlink r:id="rId22" ref="D23"/>
    <hyperlink r:id="rId23" ref="D27"/>
    <hyperlink r:id="rId24" location=":~:text=The%20Neotropical%20Migratory%20Bird%20Conservation,projects%20outside%20the%20United%20States." ref="D28"/>
    <hyperlink r:id="rId25" ref="D30"/>
    <hyperlink r:id="rId26" ref="B33"/>
    <hyperlink r:id="rId27" ref="D35"/>
    <hyperlink r:id="rId28" ref="B37"/>
    <hyperlink r:id="rId29" ref="D38"/>
    <hyperlink r:id="rId30" ref="B40"/>
    <hyperlink r:id="rId31" ref="D40"/>
    <hyperlink r:id="rId32" ref="D41"/>
    <hyperlink r:id="rId33" ref="B43"/>
    <hyperlink r:id="rId34" ref="D43"/>
    <hyperlink r:id="rId35" ref="B44"/>
    <hyperlink r:id="rId36" ref="D44"/>
    <hyperlink r:id="rId37" ref="B45"/>
    <hyperlink r:id="rId38" ref="D45"/>
    <hyperlink r:id="rId39" ref="B46"/>
    <hyperlink r:id="rId40" ref="D46"/>
    <hyperlink r:id="rId41" ref="D50"/>
    <hyperlink r:id="rId42" ref="D54"/>
    <hyperlink r:id="rId43" ref="D55"/>
    <hyperlink r:id="rId44" ref="D56"/>
    <hyperlink r:id="rId45" ref="D57"/>
    <hyperlink r:id="rId46" ref="D58"/>
    <hyperlink r:id="rId47" ref="D61"/>
    <hyperlink r:id="rId48" ref="D62"/>
    <hyperlink r:id="rId49" ref="B63"/>
    <hyperlink r:id="rId50" ref="D63"/>
    <hyperlink r:id="rId51" ref="D64"/>
    <hyperlink r:id="rId52" location="ut-austin-fellows-program" ref="D65"/>
    <hyperlink r:id="rId53" ref="D66"/>
    <hyperlink r:id="rId54" ref="D67"/>
    <hyperlink r:id="rId55" ref="D68"/>
    <hyperlink r:id="rId56" ref="D69"/>
    <hyperlink r:id="rId57" ref="D73"/>
    <hyperlink r:id="rId58" ref="D77"/>
    <hyperlink r:id="rId59" ref="D78"/>
    <hyperlink r:id="rId60" ref="D79"/>
    <hyperlink r:id="rId61" ref="D80"/>
    <hyperlink r:id="rId62" ref="D81"/>
    <hyperlink r:id="rId63" ref="D82"/>
    <hyperlink r:id="rId64" ref="D84"/>
    <hyperlink r:id="rId65" ref="D85"/>
    <hyperlink r:id="rId66" ref="D86"/>
    <hyperlink r:id="rId67" ref="D90"/>
    <hyperlink r:id="rId68" ref="D92"/>
    <hyperlink r:id="rId69" ref="D93"/>
    <hyperlink r:id="rId70" ref="D94"/>
    <hyperlink r:id="rId71" ref="D95"/>
    <hyperlink r:id="rId72" ref="B96"/>
    <hyperlink r:id="rId73" ref="D96"/>
    <hyperlink r:id="rId74" ref="D97"/>
    <hyperlink r:id="rId75" ref="D98"/>
    <hyperlink r:id="rId76" ref="B99"/>
    <hyperlink r:id="rId77" ref="D99"/>
    <hyperlink r:id="rId78" ref="B100"/>
    <hyperlink r:id="rId79" ref="D100"/>
    <hyperlink r:id="rId80" ref="B102"/>
    <hyperlink r:id="rId81" ref="D102"/>
    <hyperlink r:id="rId82" ref="D103"/>
    <hyperlink r:id="rId83" ref="B104"/>
    <hyperlink r:id="rId84" ref="D104"/>
    <hyperlink r:id="rId85" ref="D107"/>
    <hyperlink r:id="rId86" ref="D108"/>
    <hyperlink r:id="rId87" ref="D109"/>
    <hyperlink r:id="rId88" ref="B110"/>
    <hyperlink r:id="rId89" location="21a191cd-94a6-4dfe-8e67-7965755835ec" ref="D110"/>
    <hyperlink r:id="rId90" ref="D113"/>
    <hyperlink r:id="rId91" ref="B115"/>
    <hyperlink r:id="rId92" ref="D115"/>
    <hyperlink r:id="rId93" ref="D116"/>
    <hyperlink r:id="rId94" ref="D117"/>
    <hyperlink r:id="rId95" ref="B119"/>
    <hyperlink r:id="rId96" ref="D119"/>
    <hyperlink r:id="rId97" ref="D121"/>
    <hyperlink r:id="rId98" ref="D122"/>
    <hyperlink r:id="rId99" ref="D123"/>
    <hyperlink r:id="rId100" ref="D124"/>
    <hyperlink r:id="rId101" ref="D126"/>
    <hyperlink r:id="rId102" ref="D127"/>
    <hyperlink r:id="rId103" ref="B130"/>
    <hyperlink r:id="rId104" ref="D130"/>
    <hyperlink r:id="rId105" ref="D132"/>
    <hyperlink r:id="rId106" ref="D134"/>
    <hyperlink r:id="rId107" ref="D135"/>
    <hyperlink r:id="rId108" ref="B136"/>
    <hyperlink r:id="rId109" ref="D136"/>
    <hyperlink r:id="rId110" ref="B137"/>
    <hyperlink r:id="rId111" ref="D137"/>
    <hyperlink r:id="rId112" ref="B138"/>
    <hyperlink r:id="rId113" ref="D138"/>
    <hyperlink r:id="rId114" ref="D139"/>
    <hyperlink r:id="rId115" ref="D140"/>
    <hyperlink r:id="rId116" ref="B144"/>
    <hyperlink r:id="rId117" ref="D146"/>
    <hyperlink r:id="rId118" ref="D148"/>
    <hyperlink r:id="rId119" ref="D149"/>
    <hyperlink r:id="rId120" ref="D152"/>
    <hyperlink r:id="rId121" ref="D153"/>
    <hyperlink r:id="rId122" ref="D154"/>
    <hyperlink r:id="rId123" ref="D155"/>
    <hyperlink r:id="rId124" ref="D160"/>
    <hyperlink r:id="rId125" ref="D161"/>
    <hyperlink r:id="rId126" ref="D162"/>
    <hyperlink r:id="rId127" ref="D163"/>
    <hyperlink r:id="rId128" ref="D164"/>
    <hyperlink r:id="rId129" ref="D167"/>
    <hyperlink r:id="rId130" ref="D169"/>
    <hyperlink r:id="rId131" ref="B170"/>
    <hyperlink r:id="rId132" ref="D170"/>
    <hyperlink r:id="rId133" ref="B171"/>
    <hyperlink r:id="rId134" ref="D171"/>
    <hyperlink r:id="rId135" ref="D173"/>
    <hyperlink r:id="rId136" ref="D174"/>
    <hyperlink r:id="rId137" ref="D175"/>
    <hyperlink r:id="rId138" ref="D176"/>
    <hyperlink r:id="rId139" ref="D179"/>
    <hyperlink r:id="rId140" ref="D181"/>
    <hyperlink r:id="rId141" ref="D182"/>
    <hyperlink r:id="rId142" ref="D185"/>
    <hyperlink r:id="rId143" ref="D186"/>
    <hyperlink r:id="rId144" ref="D187"/>
    <hyperlink r:id="rId145" ref="D191"/>
    <hyperlink r:id="rId146" ref="D192"/>
    <hyperlink r:id="rId147" ref="D195"/>
    <hyperlink r:id="rId148" ref="D197"/>
    <hyperlink r:id="rId149" ref="D199"/>
    <hyperlink r:id="rId150" ref="D200"/>
    <hyperlink r:id="rId151" ref="D201"/>
    <hyperlink r:id="rId152" ref="D202"/>
    <hyperlink r:id="rId153" ref="B203"/>
    <hyperlink r:id="rId154" ref="B204"/>
    <hyperlink r:id="rId155" ref="D204"/>
    <hyperlink r:id="rId156" ref="D206"/>
    <hyperlink r:id="rId157" ref="D207"/>
    <hyperlink r:id="rId158" ref="D208"/>
    <hyperlink r:id="rId159" ref="D209"/>
    <hyperlink r:id="rId160" ref="D212"/>
    <hyperlink r:id="rId161" ref="D213"/>
    <hyperlink r:id="rId162" ref="D215"/>
    <hyperlink r:id="rId163" ref="D217"/>
    <hyperlink r:id="rId164" ref="D219"/>
    <hyperlink r:id="rId165" ref="D223"/>
    <hyperlink r:id="rId166" ref="D224"/>
    <hyperlink r:id="rId167" ref="D227"/>
    <hyperlink r:id="rId168" ref="B228"/>
    <hyperlink r:id="rId169" ref="B230"/>
    <hyperlink r:id="rId170" ref="D230"/>
    <hyperlink r:id="rId171" ref="D234"/>
    <hyperlink r:id="rId172" ref="D236"/>
    <hyperlink r:id="rId173" ref="B238"/>
    <hyperlink r:id="rId174" ref="D238"/>
    <hyperlink r:id="rId175" ref="B239"/>
    <hyperlink r:id="rId176" ref="D239"/>
    <hyperlink r:id="rId177" ref="B240"/>
    <hyperlink r:id="rId178" ref="D240"/>
    <hyperlink r:id="rId179" ref="D241"/>
    <hyperlink r:id="rId180" ref="D242"/>
    <hyperlink r:id="rId181" ref="D243"/>
    <hyperlink r:id="rId182" ref="D244"/>
    <hyperlink r:id="rId183" ref="B245"/>
    <hyperlink r:id="rId184" ref="D245"/>
    <hyperlink r:id="rId185" ref="B246"/>
    <hyperlink r:id="rId186" ref="D246"/>
    <hyperlink r:id="rId187" ref="D247"/>
    <hyperlink r:id="rId188" ref="D248"/>
    <hyperlink r:id="rId189" ref="D249"/>
    <hyperlink r:id="rId190" ref="B250"/>
    <hyperlink r:id="rId191" ref="D251"/>
    <hyperlink r:id="rId192" ref="D252"/>
    <hyperlink r:id="rId193" ref="D253"/>
    <hyperlink r:id="rId194" ref="D254"/>
    <hyperlink r:id="rId195" ref="B255"/>
    <hyperlink r:id="rId196" ref="D255"/>
    <hyperlink r:id="rId197" ref="D256"/>
    <hyperlink r:id="rId198" ref="D258"/>
    <hyperlink r:id="rId199" ref="D259"/>
    <hyperlink r:id="rId200" ref="D260"/>
    <hyperlink r:id="rId201" ref="D261"/>
    <hyperlink r:id="rId202" ref="D262"/>
    <hyperlink r:id="rId203" ref="D263"/>
    <hyperlink r:id="rId204" ref="B266"/>
    <hyperlink r:id="rId205" ref="D266"/>
    <hyperlink r:id="rId206" ref="D267"/>
    <hyperlink r:id="rId207" ref="D269"/>
    <hyperlink r:id="rId208" ref="D270"/>
    <hyperlink r:id="rId209" ref="D272"/>
    <hyperlink r:id="rId210" ref="D274"/>
    <hyperlink r:id="rId211" ref="B275"/>
    <hyperlink r:id="rId212" ref="D275"/>
    <hyperlink r:id="rId213" ref="D276"/>
    <hyperlink r:id="rId214" location=":~:text=Science%20of%20Learning%20and%20Augmented%20Intelligence%20(SL)%20supports%20potentially%20transformative,function%20can%20be%20augmented%20through" ref="D277"/>
    <hyperlink r:id="rId215" ref="D279"/>
    <hyperlink r:id="rId216" ref="D281"/>
    <hyperlink r:id="rId217" ref="D282"/>
    <hyperlink r:id="rId218" ref="D283"/>
    <hyperlink r:id="rId219" ref="B284"/>
    <hyperlink r:id="rId220" ref="D284"/>
    <hyperlink r:id="rId221" ref="D286"/>
    <hyperlink r:id="rId222" ref="D288"/>
    <hyperlink r:id="rId223" ref="D289"/>
    <hyperlink r:id="rId224" ref="D292"/>
    <hyperlink r:id="rId225" ref="B293"/>
    <hyperlink r:id="rId226" ref="D293"/>
    <hyperlink r:id="rId227" ref="B294"/>
    <hyperlink r:id="rId228" ref="D294"/>
    <hyperlink r:id="rId229" ref="D295"/>
    <hyperlink r:id="rId230" ref="B297"/>
    <hyperlink r:id="rId231" ref="B299"/>
    <hyperlink r:id="rId232" ref="D301"/>
    <hyperlink r:id="rId233" ref="B303"/>
    <hyperlink r:id="rId234" ref="B304"/>
    <hyperlink r:id="rId235" ref="D304"/>
    <hyperlink r:id="rId236" ref="D306"/>
    <hyperlink r:id="rId237" ref="D307"/>
    <hyperlink r:id="rId238" ref="D309"/>
    <hyperlink r:id="rId239" ref="B310"/>
    <hyperlink r:id="rId240" ref="D310"/>
    <hyperlink r:id="rId241" ref="B311"/>
    <hyperlink r:id="rId242" ref="D311"/>
    <hyperlink r:id="rId243" ref="D312"/>
    <hyperlink r:id="rId244" ref="D315"/>
    <hyperlink r:id="rId245" ref="D316"/>
    <hyperlink r:id="rId246" ref="D317"/>
    <hyperlink r:id="rId247" ref="D320"/>
    <hyperlink r:id="rId248" ref="D321"/>
    <hyperlink r:id="rId249" ref="B322"/>
    <hyperlink r:id="rId250" ref="D322"/>
    <hyperlink r:id="rId251" ref="D323"/>
    <hyperlink r:id="rId252" ref="D327"/>
    <hyperlink r:id="rId253" ref="B332"/>
    <hyperlink r:id="rId254" ref="D332"/>
    <hyperlink r:id="rId255" ref="B333"/>
    <hyperlink r:id="rId256" ref="D333"/>
    <hyperlink r:id="rId257" ref="B334"/>
    <hyperlink r:id="rId258" ref="D334"/>
    <hyperlink r:id="rId259" ref="D335"/>
    <hyperlink r:id="rId260" ref="D336"/>
    <hyperlink r:id="rId261" location="rsagrant" ref="D337"/>
    <hyperlink r:id="rId262" ref="B340"/>
    <hyperlink r:id="rId263" ref="D340"/>
    <hyperlink r:id="rId264" ref="D342"/>
    <hyperlink r:id="rId265" location="apply" ref="D345"/>
    <hyperlink r:id="rId266" ref="D346"/>
    <hyperlink r:id="rId267" ref="B349"/>
    <hyperlink r:id="rId268" ref="D349"/>
    <hyperlink r:id="rId269" ref="B351"/>
    <hyperlink r:id="rId270" ref="D351"/>
    <hyperlink r:id="rId271" ref="B352"/>
    <hyperlink r:id="rId272" ref="D352"/>
    <hyperlink r:id="rId273" ref="B353"/>
    <hyperlink r:id="rId274" ref="D353"/>
    <hyperlink r:id="rId275" ref="B354"/>
    <hyperlink r:id="rId276" ref="D354"/>
    <hyperlink r:id="rId277" ref="B355"/>
    <hyperlink r:id="rId278" ref="D355"/>
    <hyperlink r:id="rId279" ref="B356"/>
    <hyperlink r:id="rId280" ref="D356"/>
    <hyperlink r:id="rId281" ref="B357"/>
    <hyperlink r:id="rId282" ref="D357"/>
    <hyperlink r:id="rId283" ref="B358"/>
    <hyperlink r:id="rId284" ref="D358"/>
    <hyperlink r:id="rId285" ref="B360"/>
    <hyperlink r:id="rId286" ref="D360"/>
    <hyperlink r:id="rId287" ref="D364"/>
    <hyperlink r:id="rId288" ref="D365"/>
    <hyperlink r:id="rId289" ref="B366"/>
    <hyperlink r:id="rId290" ref="D366"/>
    <hyperlink r:id="rId291" ref="D368"/>
    <hyperlink r:id="rId292" ref="D369"/>
    <hyperlink r:id="rId293" ref="B371"/>
    <hyperlink r:id="rId294" ref="D371"/>
    <hyperlink r:id="rId295" ref="B375"/>
    <hyperlink r:id="rId296" ref="D375"/>
    <hyperlink r:id="rId297" ref="D376"/>
    <hyperlink r:id="rId298" ref="B377"/>
    <hyperlink r:id="rId299" ref="B378"/>
    <hyperlink r:id="rId300" ref="D378"/>
    <hyperlink r:id="rId301" ref="D380"/>
    <hyperlink r:id="rId302" ref="D381"/>
    <hyperlink r:id="rId303" ref="D382"/>
    <hyperlink r:id="rId304" ref="D383"/>
    <hyperlink r:id="rId305" ref="B384"/>
    <hyperlink r:id="rId306" ref="D384"/>
    <hyperlink r:id="rId307" ref="D385"/>
    <hyperlink r:id="rId308" ref="B387"/>
    <hyperlink r:id="rId309" ref="D387"/>
    <hyperlink r:id="rId310" ref="B388"/>
    <hyperlink r:id="rId311" ref="D388"/>
    <hyperlink r:id="rId312" ref="D389"/>
    <hyperlink r:id="rId313" ref="D390"/>
    <hyperlink r:id="rId314" ref="B391"/>
    <hyperlink r:id="rId315" ref="D391"/>
    <hyperlink r:id="rId316" ref="D392"/>
    <hyperlink r:id="rId317" ref="B394"/>
    <hyperlink r:id="rId318" ref="D394"/>
    <hyperlink r:id="rId319" ref="B396"/>
    <hyperlink r:id="rId320" ref="D396"/>
    <hyperlink r:id="rId321" ref="B397"/>
    <hyperlink r:id="rId322" ref="D397"/>
    <hyperlink r:id="rId323" ref="B398"/>
    <hyperlink r:id="rId324" ref="D398"/>
    <hyperlink r:id="rId325" ref="D404"/>
    <hyperlink r:id="rId326" ref="D405"/>
    <hyperlink r:id="rId327" ref="B409"/>
    <hyperlink r:id="rId328" ref="D409"/>
    <hyperlink r:id="rId329" ref="B410"/>
    <hyperlink r:id="rId330" ref="D414"/>
    <hyperlink r:id="rId331" ref="D415"/>
    <hyperlink r:id="rId332" ref="D416"/>
    <hyperlink r:id="rId333" ref="D417"/>
    <hyperlink r:id="rId334" ref="D419"/>
    <hyperlink r:id="rId335" ref="D421"/>
    <hyperlink r:id="rId336" ref="D424"/>
    <hyperlink r:id="rId337" ref="B425"/>
    <hyperlink r:id="rId338" ref="D425"/>
    <hyperlink r:id="rId339" ref="D426"/>
    <hyperlink r:id="rId340" ref="D427"/>
    <hyperlink r:id="rId341" ref="D428"/>
    <hyperlink r:id="rId342" ref="D429"/>
    <hyperlink r:id="rId343" location="mission" ref="B430"/>
    <hyperlink r:id="rId344" ref="D430"/>
    <hyperlink r:id="rId345" ref="D431"/>
    <hyperlink r:id="rId346" ref="B434"/>
    <hyperlink r:id="rId347" ref="D434"/>
    <hyperlink r:id="rId348" ref="B435"/>
    <hyperlink r:id="rId349" ref="D435"/>
    <hyperlink r:id="rId350" ref="D436"/>
    <hyperlink r:id="rId351" location="NEH_Fellowships" ref="D437"/>
    <hyperlink r:id="rId352" ref="D438"/>
    <hyperlink r:id="rId353" ref="D439"/>
    <hyperlink r:id="rId354" ref="D440"/>
    <hyperlink r:id="rId355" ref="D441"/>
    <hyperlink r:id="rId356" ref="D442"/>
    <hyperlink r:id="rId357" ref="B443"/>
    <hyperlink r:id="rId358" ref="D443"/>
    <hyperlink r:id="rId359" ref="D445"/>
    <hyperlink r:id="rId360" ref="D446"/>
    <hyperlink r:id="rId361" ref="D447"/>
    <hyperlink r:id="rId362" ref="D448"/>
    <hyperlink r:id="rId363" ref="D452"/>
    <hyperlink r:id="rId364" ref="D456"/>
    <hyperlink r:id="rId365" ref="D458"/>
    <hyperlink r:id="rId366" ref="D459"/>
    <hyperlink r:id="rId367" ref="D460"/>
    <hyperlink r:id="rId368" ref="D461"/>
    <hyperlink r:id="rId369" ref="D462"/>
    <hyperlink r:id="rId370" ref="D463"/>
    <hyperlink r:id="rId371" ref="D465"/>
    <hyperlink r:id="rId372" ref="D466"/>
    <hyperlink r:id="rId373" ref="D468"/>
    <hyperlink r:id="rId374" ref="D470"/>
    <hyperlink r:id="rId375" ref="D473"/>
    <hyperlink r:id="rId376" ref="D475"/>
    <hyperlink r:id="rId377" ref="D477"/>
    <hyperlink r:id="rId378" ref="B478"/>
    <hyperlink r:id="rId379" ref="D478"/>
    <hyperlink r:id="rId380" ref="B479"/>
    <hyperlink r:id="rId381" ref="D479"/>
    <hyperlink r:id="rId382" ref="B480"/>
    <hyperlink r:id="rId383" ref="D480"/>
    <hyperlink r:id="rId384" ref="B481"/>
    <hyperlink r:id="rId385" ref="D481"/>
    <hyperlink r:id="rId386" ref="B482"/>
    <hyperlink r:id="rId387" ref="D482"/>
    <hyperlink r:id="rId388" ref="D484"/>
    <hyperlink r:id="rId389" ref="D485"/>
    <hyperlink r:id="rId390" ref="D491"/>
    <hyperlink r:id="rId391" ref="D493"/>
    <hyperlink r:id="rId392" ref="B494"/>
    <hyperlink r:id="rId393" ref="D494"/>
    <hyperlink r:id="rId394" ref="D495"/>
    <hyperlink r:id="rId395" ref="B497"/>
    <hyperlink r:id="rId396" ref="D497"/>
    <hyperlink r:id="rId397" ref="B498"/>
    <hyperlink r:id="rId398" ref="B499"/>
    <hyperlink r:id="rId399" ref="D499"/>
    <hyperlink r:id="rId400" ref="D500"/>
    <hyperlink r:id="rId401" ref="D501"/>
    <hyperlink r:id="rId402" ref="D502"/>
    <hyperlink r:id="rId403" ref="D503"/>
    <hyperlink r:id="rId404" ref="B506"/>
    <hyperlink r:id="rId405" ref="D506"/>
    <hyperlink r:id="rId406" ref="B507"/>
    <hyperlink r:id="rId407" ref="D507"/>
    <hyperlink r:id="rId408" ref="D508"/>
    <hyperlink r:id="rId409" ref="B509"/>
    <hyperlink r:id="rId410" ref="D509"/>
    <hyperlink r:id="rId411" ref="D510"/>
    <hyperlink r:id="rId412" ref="B511"/>
    <hyperlink r:id="rId413" ref="D511"/>
    <hyperlink r:id="rId414" ref="B512"/>
    <hyperlink r:id="rId415" ref="D512"/>
    <hyperlink r:id="rId416" ref="B513"/>
    <hyperlink r:id="rId417" ref="D513"/>
    <hyperlink r:id="rId418" ref="B514"/>
    <hyperlink r:id="rId419" ref="D514"/>
    <hyperlink r:id="rId420" ref="B515"/>
    <hyperlink r:id="rId421" ref="D515"/>
    <hyperlink r:id="rId422" ref="B516"/>
    <hyperlink r:id="rId423" ref="D516"/>
    <hyperlink r:id="rId424" ref="B517"/>
    <hyperlink r:id="rId425" ref="D517"/>
    <hyperlink r:id="rId426" ref="B518"/>
    <hyperlink r:id="rId427" ref="D518"/>
    <hyperlink r:id="rId428" ref="B519"/>
    <hyperlink r:id="rId429" ref="D519"/>
    <hyperlink r:id="rId430" ref="D522"/>
    <hyperlink r:id="rId431" ref="D523"/>
    <hyperlink r:id="rId432" ref="D524"/>
    <hyperlink r:id="rId433" ref="D525"/>
    <hyperlink r:id="rId434" ref="B527"/>
    <hyperlink r:id="rId435" ref="D529"/>
    <hyperlink r:id="rId436" ref="B530"/>
    <hyperlink r:id="rId437" ref="D530"/>
    <hyperlink r:id="rId438" ref="D533"/>
    <hyperlink r:id="rId439" ref="D534"/>
    <hyperlink r:id="rId440" ref="B535"/>
    <hyperlink r:id="rId441" ref="D535"/>
    <hyperlink r:id="rId442" ref="B536"/>
    <hyperlink r:id="rId443" ref="D536"/>
    <hyperlink r:id="rId444" ref="B537"/>
    <hyperlink r:id="rId445" ref="D537"/>
    <hyperlink r:id="rId446" ref="B538"/>
    <hyperlink r:id="rId447" ref="D538"/>
    <hyperlink r:id="rId448" ref="B539"/>
    <hyperlink r:id="rId449" ref="D539"/>
    <hyperlink r:id="rId450" ref="B540"/>
    <hyperlink r:id="rId451" ref="D540"/>
    <hyperlink r:id="rId452" ref="D543"/>
    <hyperlink r:id="rId453" ref="B544"/>
    <hyperlink r:id="rId454" ref="D544"/>
    <hyperlink r:id="rId455" ref="D546"/>
    <hyperlink r:id="rId456" location="eligibility" ref="D550"/>
    <hyperlink r:id="rId457" ref="D551"/>
    <hyperlink r:id="rId458" ref="D552"/>
    <hyperlink r:id="rId459" ref="D553"/>
    <hyperlink r:id="rId460" ref="D555"/>
    <hyperlink r:id="rId461" ref="D556"/>
    <hyperlink r:id="rId462" ref="D557"/>
    <hyperlink r:id="rId463" ref="D558"/>
    <hyperlink r:id="rId464" ref="A560"/>
    <hyperlink r:id="rId465" ref="D562"/>
    <hyperlink r:id="rId466" ref="D563"/>
    <hyperlink r:id="rId467" ref="D565"/>
    <hyperlink r:id="rId468" location="for-researchers" ref="D566"/>
    <hyperlink r:id="rId469" ref="D567"/>
    <hyperlink r:id="rId470" ref="D570"/>
    <hyperlink r:id="rId471" ref="D571"/>
    <hyperlink r:id="rId472" ref="D572"/>
    <hyperlink r:id="rId473" ref="D573"/>
    <hyperlink r:id="rId474" ref="B575"/>
    <hyperlink r:id="rId475" ref="D575"/>
    <hyperlink r:id="rId476" ref="B576"/>
    <hyperlink r:id="rId477" ref="D576"/>
    <hyperlink r:id="rId478" ref="D577"/>
    <hyperlink r:id="rId479" ref="B583"/>
    <hyperlink r:id="rId480" ref="D583"/>
    <hyperlink r:id="rId481" ref="D585"/>
    <hyperlink r:id="rId482" ref="D586"/>
    <hyperlink r:id="rId483" ref="D587"/>
    <hyperlink r:id="rId484" ref="D588"/>
    <hyperlink r:id="rId485" ref="D589"/>
    <hyperlink r:id="rId486" ref="D591"/>
    <hyperlink r:id="rId487" ref="D592"/>
    <hyperlink r:id="rId488" location="apply" ref="D593"/>
    <hyperlink r:id="rId489" ref="D597"/>
    <hyperlink r:id="rId490" ref="D599"/>
    <hyperlink r:id="rId491" ref="B600"/>
    <hyperlink r:id="rId492" ref="B601"/>
    <hyperlink r:id="rId493" ref="D602"/>
    <hyperlink r:id="rId494" ref="D604"/>
    <hyperlink r:id="rId495" ref="D608"/>
    <hyperlink r:id="rId496" ref="D613"/>
    <hyperlink r:id="rId497" ref="D614"/>
    <hyperlink r:id="rId498" ref="B620"/>
    <hyperlink r:id="rId499" ref="D620"/>
    <hyperlink r:id="rId500" ref="B624"/>
    <hyperlink r:id="rId501" ref="B625"/>
    <hyperlink r:id="rId502" ref="B626"/>
    <hyperlink r:id="rId503" ref="B627"/>
    <hyperlink r:id="rId504" ref="B628"/>
    <hyperlink r:id="rId505" ref="D628"/>
    <hyperlink r:id="rId506" ref="B631"/>
    <hyperlink r:id="rId507" ref="D632"/>
    <hyperlink r:id="rId508" ref="D633"/>
    <hyperlink r:id="rId509" ref="D635"/>
    <hyperlink r:id="rId510" ref="D636"/>
    <hyperlink r:id="rId511" ref="D637"/>
    <hyperlink r:id="rId512" ref="D638"/>
    <hyperlink r:id="rId513" ref="B641"/>
    <hyperlink r:id="rId514" ref="D641"/>
    <hyperlink r:id="rId515" ref="B642"/>
    <hyperlink r:id="rId516" ref="D642"/>
    <hyperlink r:id="rId517" ref="B643"/>
    <hyperlink r:id="rId518" ref="D643"/>
    <hyperlink r:id="rId519" ref="B644"/>
    <hyperlink r:id="rId520" ref="D644"/>
    <hyperlink r:id="rId521" ref="B645"/>
    <hyperlink r:id="rId522" ref="D645"/>
    <hyperlink r:id="rId523" ref="B646"/>
    <hyperlink r:id="rId524" ref="D646"/>
    <hyperlink r:id="rId525" ref="B647"/>
    <hyperlink r:id="rId526" location="research_libraries" ref="D647"/>
    <hyperlink r:id="rId527" ref="D648"/>
    <hyperlink r:id="rId528" ref="D649"/>
    <hyperlink r:id="rId529" ref="B651"/>
    <hyperlink r:id="rId530" ref="B652"/>
    <hyperlink r:id="rId531" ref="D652"/>
    <hyperlink r:id="rId532" ref="D653"/>
    <hyperlink r:id="rId533" ref="D661"/>
    <hyperlink r:id="rId534" ref="B663"/>
    <hyperlink r:id="rId535" ref="D663"/>
    <hyperlink r:id="rId536" ref="D664"/>
    <hyperlink r:id="rId537" ref="D665"/>
    <hyperlink r:id="rId538" ref="D666"/>
    <hyperlink r:id="rId539" location="scholars-artists-professionals" ref="D667"/>
    <hyperlink r:id="rId540" ref="D668"/>
    <hyperlink r:id="rId541" ref="D669"/>
    <hyperlink r:id="rId542" ref="B670"/>
    <hyperlink r:id="rId543" ref="D670"/>
    <hyperlink r:id="rId544" ref="B671"/>
    <hyperlink r:id="rId545" location="guidelines" ref="D671"/>
    <hyperlink r:id="rId546" ref="B672"/>
    <hyperlink r:id="rId547" ref="D672"/>
    <hyperlink r:id="rId548" ref="B673"/>
    <hyperlink r:id="rId549" ref="D673"/>
    <hyperlink r:id="rId550" ref="B674"/>
    <hyperlink r:id="rId551" ref="D674"/>
    <hyperlink r:id="rId552" ref="D677"/>
    <hyperlink r:id="rId553" ref="D678"/>
    <hyperlink r:id="rId554" ref="D679"/>
    <hyperlink r:id="rId555" ref="D680"/>
    <hyperlink r:id="rId556" ref="B682"/>
    <hyperlink r:id="rId557" ref="D682"/>
    <hyperlink r:id="rId558" ref="B683"/>
    <hyperlink r:id="rId559" ref="D683"/>
    <hyperlink r:id="rId560" ref="B684"/>
    <hyperlink r:id="rId561" ref="D684"/>
    <hyperlink r:id="rId562" ref="D685"/>
    <hyperlink r:id="rId563" ref="B686"/>
    <hyperlink r:id="rId564" ref="D686"/>
    <hyperlink r:id="rId565" ref="D687"/>
    <hyperlink r:id="rId566" ref="B689"/>
    <hyperlink r:id="rId567" ref="B691"/>
    <hyperlink r:id="rId568" ref="D691"/>
    <hyperlink r:id="rId569" ref="B692"/>
    <hyperlink r:id="rId570" ref="D692"/>
    <hyperlink r:id="rId571" location="faq-distinguished-fellows" ref="D694"/>
    <hyperlink r:id="rId572" ref="D695"/>
    <hyperlink r:id="rId573" ref="B697"/>
    <hyperlink r:id="rId574" ref="D697"/>
    <hyperlink r:id="rId575" ref="B698"/>
    <hyperlink r:id="rId576" ref="D698"/>
    <hyperlink r:id="rId577" ref="B699"/>
    <hyperlink r:id="rId578" ref="D699"/>
    <hyperlink r:id="rId579" ref="B700"/>
    <hyperlink r:id="rId580" ref="D700"/>
    <hyperlink r:id="rId581" ref="B701"/>
    <hyperlink r:id="rId582" location="creteriatab2" ref="D701"/>
    <hyperlink r:id="rId583" ref="D702"/>
    <hyperlink r:id="rId584" ref="D703"/>
    <hyperlink r:id="rId585" ref="D704"/>
  </hyperlinks>
  <printOptions gridLines="1" horizontalCentered="1"/>
  <pageMargins bottom="0.75" footer="0.0" header="0.0" left="0.7" right="0.7" top="0.75"/>
  <pageSetup fitToHeight="0" cellComments="atEnd" orientation="landscape" pageOrder="overThenDown"/>
  <drawing r:id="rId586"/>
</worksheet>
</file>